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FF4B844-61ED-4EC7-856E-19BC73AA59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P" sheetId="1" r:id="rId1"/>
    <sheet name="PIR" sheetId="2" r:id="rId2"/>
    <sheet name="Neizmirene obaveze" sheetId="3" r:id="rId3"/>
    <sheet name="Zaduženja" sheetId="4" r:id="rId4"/>
    <sheet name="Broj zaposlenih" sheetId="5" r:id="rId5"/>
  </sheets>
  <calcPr calcId="181029"/>
</workbook>
</file>

<file path=xl/calcChain.xml><?xml version="1.0" encoding="utf-8"?>
<calcChain xmlns="http://schemas.openxmlformats.org/spreadsheetml/2006/main">
  <c r="J7" i="4" l="1"/>
  <c r="C144" i="2" l="1"/>
  <c r="C146" i="2"/>
  <c r="C139" i="2"/>
  <c r="C138" i="2"/>
  <c r="C153" i="2" l="1"/>
  <c r="C145" i="2"/>
  <c r="C137" i="2"/>
  <c r="C155" i="2"/>
  <c r="D9" i="2"/>
  <c r="E9" i="2"/>
  <c r="D97" i="2"/>
  <c r="E97" i="2"/>
  <c r="C142" i="2" l="1"/>
  <c r="C140" i="2"/>
  <c r="F15" i="4" l="1"/>
  <c r="F22" i="3"/>
  <c r="F21" i="3"/>
  <c r="E22" i="3"/>
  <c r="E21" i="3"/>
  <c r="E16" i="1" l="1"/>
  <c r="E54" i="1" l="1"/>
  <c r="D54" i="1"/>
  <c r="C54" i="1"/>
  <c r="F53" i="1"/>
  <c r="E52" i="1"/>
  <c r="D52" i="1"/>
  <c r="C52" i="1"/>
  <c r="F51" i="1"/>
  <c r="F50" i="1"/>
  <c r="F49" i="1"/>
  <c r="E48" i="1"/>
  <c r="D48" i="1"/>
  <c r="C48" i="1"/>
  <c r="F47" i="1"/>
  <c r="F46" i="1"/>
  <c r="E45" i="1"/>
  <c r="E44" i="1" s="1"/>
  <c r="D45" i="1"/>
  <c r="C45" i="1"/>
  <c r="F43" i="1"/>
  <c r="F42" i="1"/>
  <c r="E41" i="1"/>
  <c r="D41" i="1"/>
  <c r="C41" i="1"/>
  <c r="F39" i="1"/>
  <c r="E38" i="1"/>
  <c r="D38" i="1"/>
  <c r="D37" i="1" s="1"/>
  <c r="C38" i="1"/>
  <c r="C37" i="1" s="1"/>
  <c r="F36" i="1"/>
  <c r="F35" i="1"/>
  <c r="F34" i="1"/>
  <c r="F33" i="1"/>
  <c r="E32" i="1"/>
  <c r="D32" i="1"/>
  <c r="C32" i="1"/>
  <c r="F31" i="1"/>
  <c r="F30" i="1"/>
  <c r="F27" i="1"/>
  <c r="F25" i="1"/>
  <c r="F24" i="1"/>
  <c r="F23" i="1"/>
  <c r="D16" i="1"/>
  <c r="C22" i="1"/>
  <c r="F22" i="1" s="1"/>
  <c r="F20" i="1"/>
  <c r="F19" i="1"/>
  <c r="F18" i="1"/>
  <c r="C17" i="1"/>
  <c r="F17" i="1" s="1"/>
  <c r="F14" i="1"/>
  <c r="F13" i="1"/>
  <c r="E12" i="1"/>
  <c r="D12" i="1"/>
  <c r="C12" i="1"/>
  <c r="F11" i="1"/>
  <c r="F10" i="1"/>
  <c r="F9" i="1"/>
  <c r="F8" i="1"/>
  <c r="E7" i="1"/>
  <c r="D7" i="1"/>
  <c r="C7" i="1"/>
  <c r="C150" i="2"/>
  <c r="C136" i="2"/>
  <c r="F99" i="2"/>
  <c r="E98" i="2"/>
  <c r="D98" i="2"/>
  <c r="C98" i="2"/>
  <c r="F97" i="2"/>
  <c r="D96" i="2"/>
  <c r="E96" i="2"/>
  <c r="F96" i="2" s="1"/>
  <c r="C96" i="2"/>
  <c r="F91" i="2"/>
  <c r="E90" i="2"/>
  <c r="D90" i="2"/>
  <c r="C90" i="2"/>
  <c r="F83" i="2"/>
  <c r="F82" i="2"/>
  <c r="F81" i="2"/>
  <c r="F79" i="2"/>
  <c r="F78" i="2"/>
  <c r="E76" i="2"/>
  <c r="D76" i="2"/>
  <c r="C76" i="2"/>
  <c r="D75" i="2"/>
  <c r="C75" i="2"/>
  <c r="F74" i="2"/>
  <c r="E71" i="2"/>
  <c r="D71" i="2"/>
  <c r="C71" i="2"/>
  <c r="F70" i="2"/>
  <c r="F69" i="2"/>
  <c r="F67" i="2"/>
  <c r="F66" i="2"/>
  <c r="F65" i="2"/>
  <c r="F64" i="2"/>
  <c r="F63" i="2"/>
  <c r="E61" i="2"/>
  <c r="D61" i="2"/>
  <c r="C61" i="2"/>
  <c r="C60" i="2"/>
  <c r="F58" i="2"/>
  <c r="F56" i="2"/>
  <c r="F55" i="2"/>
  <c r="F54" i="2"/>
  <c r="F53" i="2"/>
  <c r="F52" i="2"/>
  <c r="E51" i="2"/>
  <c r="D51" i="2"/>
  <c r="C51" i="2"/>
  <c r="F50" i="2"/>
  <c r="F47" i="2"/>
  <c r="E46" i="2"/>
  <c r="D46" i="2"/>
  <c r="C46" i="2"/>
  <c r="F44" i="2"/>
  <c r="F43" i="2"/>
  <c r="E43" i="2"/>
  <c r="D43" i="2"/>
  <c r="C43" i="2"/>
  <c r="F39" i="2"/>
  <c r="E39" i="2"/>
  <c r="D39" i="2"/>
  <c r="C39" i="2"/>
  <c r="F38" i="2"/>
  <c r="F36" i="2"/>
  <c r="F35" i="2"/>
  <c r="F33" i="2"/>
  <c r="F32" i="2"/>
  <c r="F31" i="2"/>
  <c r="F30" i="2"/>
  <c r="E29" i="2"/>
  <c r="D29" i="2"/>
  <c r="C29" i="2"/>
  <c r="F28" i="2"/>
  <c r="F27" i="2"/>
  <c r="F26" i="2"/>
  <c r="F25" i="2"/>
  <c r="F23" i="2"/>
  <c r="E22" i="2"/>
  <c r="D22" i="2"/>
  <c r="C22" i="2"/>
  <c r="F21" i="2"/>
  <c r="F20" i="2"/>
  <c r="F19" i="2"/>
  <c r="E14" i="2"/>
  <c r="D14" i="2"/>
  <c r="C14" i="2"/>
  <c r="F13" i="2"/>
  <c r="F12" i="2"/>
  <c r="F11" i="2"/>
  <c r="F10" i="2"/>
  <c r="F9" i="2"/>
  <c r="E8" i="2"/>
  <c r="D8" i="2"/>
  <c r="D7" i="2" s="1"/>
  <c r="C8" i="2"/>
  <c r="F8" i="2" l="1"/>
  <c r="F46" i="2"/>
  <c r="C7" i="2"/>
  <c r="C6" i="2" s="1"/>
  <c r="F14" i="2"/>
  <c r="F22" i="2"/>
  <c r="F29" i="2"/>
  <c r="F51" i="2"/>
  <c r="F61" i="2"/>
  <c r="F71" i="2"/>
  <c r="F76" i="2"/>
  <c r="F90" i="2"/>
  <c r="C89" i="2"/>
  <c r="C102" i="2" s="1"/>
  <c r="D89" i="2"/>
  <c r="F98" i="2"/>
  <c r="C158" i="2"/>
  <c r="C16" i="1"/>
  <c r="F16" i="1" s="1"/>
  <c r="C44" i="1"/>
  <c r="F7" i="1"/>
  <c r="F38" i="1"/>
  <c r="F41" i="1"/>
  <c r="F44" i="1"/>
  <c r="F48" i="1"/>
  <c r="F12" i="1"/>
  <c r="F32" i="1"/>
  <c r="E37" i="1"/>
  <c r="F45" i="1"/>
  <c r="F52" i="1"/>
  <c r="F54" i="1"/>
  <c r="D44" i="1"/>
  <c r="D6" i="1"/>
  <c r="D60" i="2"/>
  <c r="D6" i="2" s="1"/>
  <c r="D102" i="2" s="1"/>
  <c r="E75" i="2"/>
  <c r="F75" i="2" s="1"/>
  <c r="E60" i="2"/>
  <c r="F60" i="2" s="1"/>
  <c r="E6" i="1"/>
  <c r="E7" i="2"/>
  <c r="E89" i="2"/>
  <c r="F89" i="2" l="1"/>
  <c r="C6" i="1"/>
  <c r="C58" i="1" s="1"/>
  <c r="F6" i="1"/>
  <c r="F37" i="1"/>
  <c r="D58" i="1"/>
  <c r="E58" i="1"/>
  <c r="E6" i="2"/>
  <c r="F7" i="2"/>
  <c r="F58" i="1" l="1"/>
  <c r="E102" i="2"/>
  <c r="F102" i="2" s="1"/>
  <c r="F6" i="2"/>
  <c r="H7" i="4" l="1"/>
  <c r="I7" i="4" l="1"/>
  <c r="E7" i="4" l="1"/>
  <c r="G22" i="3"/>
  <c r="E15" i="4" l="1"/>
  <c r="G7" i="4"/>
  <c r="C20" i="5" l="1"/>
  <c r="F24" i="3" l="1"/>
  <c r="F17" i="4" l="1"/>
  <c r="D4" i="3" l="1"/>
  <c r="F4" i="3" l="1"/>
  <c r="J17" i="4" l="1"/>
  <c r="I17" i="4"/>
  <c r="H17" i="4"/>
  <c r="G17" i="4"/>
  <c r="E17" i="4"/>
  <c r="D17" i="4"/>
  <c r="C17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5" i="4"/>
  <c r="J4" i="4" s="1"/>
  <c r="J14" i="4" s="1"/>
  <c r="I5" i="4"/>
  <c r="H5" i="4"/>
  <c r="G5" i="4"/>
  <c r="G4" i="4" s="1"/>
  <c r="G14" i="4" s="1"/>
  <c r="E5" i="4"/>
  <c r="E4" i="4" s="1"/>
  <c r="D5" i="4"/>
  <c r="C5" i="4"/>
  <c r="C4" i="4" s="1"/>
  <c r="I4" i="4"/>
  <c r="I14" i="4" s="1"/>
  <c r="H4" i="4"/>
  <c r="H14" i="4" s="1"/>
  <c r="D4" i="4"/>
  <c r="D14" i="4" s="1"/>
  <c r="E24" i="3"/>
  <c r="D24" i="3"/>
  <c r="G21" i="3"/>
  <c r="F11" i="3"/>
  <c r="F17" i="3" s="1"/>
  <c r="D11" i="3"/>
  <c r="D17" i="3" s="1"/>
  <c r="C14" i="4" l="1"/>
  <c r="F5" i="4"/>
  <c r="F4" i="4" s="1"/>
  <c r="F14" i="4" s="1"/>
  <c r="E14" i="4"/>
  <c r="G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24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Platili smo više u odnosu na dospjele rate iz razloga što plaćamo doprinose po osnovu rješenja  Agencije za mirno rješavanje radnih sporova za radnike koji su ostvarili pravo na penziju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H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povučeni iznos od 750.000,00 € i 7.717,73 € interkalarna kamata koja je pripisana glavnici kredita
</t>
        </r>
      </text>
    </comment>
  </commentList>
</comments>
</file>

<file path=xl/sharedStrings.xml><?xml version="1.0" encoding="utf-8"?>
<sst xmlns="http://schemas.openxmlformats.org/spreadsheetml/2006/main" count="451" uniqueCount="385">
  <si>
    <t>OBRAZAC POP</t>
  </si>
  <si>
    <t>OPŠTINA BERANE</t>
  </si>
  <si>
    <t>PRIHODI</t>
  </si>
  <si>
    <t>Godišnji plan budžeta</t>
  </si>
  <si>
    <t>% ostvarenja godišnjeg budžeta</t>
  </si>
  <si>
    <t>71</t>
  </si>
  <si>
    <t>Tekući prihodi</t>
  </si>
  <si>
    <t>711</t>
  </si>
  <si>
    <t>Porezi</t>
  </si>
  <si>
    <t>7111</t>
  </si>
  <si>
    <t>Porez na dohodak fizičkih lica</t>
  </si>
  <si>
    <t>71131</t>
  </si>
  <si>
    <t>Porez na nepokretnosti</t>
  </si>
  <si>
    <t>71132</t>
  </si>
  <si>
    <t>Porez na promet nepokretnosti</t>
  </si>
  <si>
    <t>71175</t>
  </si>
  <si>
    <t>Prirez porezu na dohodak fizičkih lica</t>
  </si>
  <si>
    <t>713</t>
  </si>
  <si>
    <t>Takse</t>
  </si>
  <si>
    <t>71312</t>
  </si>
  <si>
    <t>Lokalne administrativne takse</t>
  </si>
  <si>
    <t>7135</t>
  </si>
  <si>
    <t>Lokalne komunalne takse</t>
  </si>
  <si>
    <t>7136</t>
  </si>
  <si>
    <t>Ostale takse</t>
  </si>
  <si>
    <t>714</t>
  </si>
  <si>
    <t>Naknade</t>
  </si>
  <si>
    <t>7141</t>
  </si>
  <si>
    <t>Naknada za korišćenje dobara od opšteg interesa</t>
  </si>
  <si>
    <t>71411</t>
  </si>
  <si>
    <t>Naknada za korišćenje voda</t>
  </si>
  <si>
    <t>71412</t>
  </si>
  <si>
    <t>Naknada za izvađeni materijal iz vodotoka</t>
  </si>
  <si>
    <t>71413</t>
  </si>
  <si>
    <t>Naknada za zaštitu voda od zagađivanja</t>
  </si>
  <si>
    <t>71414</t>
  </si>
  <si>
    <t>Naknada za korišćenje rezultata geoloških istraživanja</t>
  </si>
  <si>
    <t>7142</t>
  </si>
  <si>
    <t>Naknade za korišćenje prirodnih dobara</t>
  </si>
  <si>
    <t>71421</t>
  </si>
  <si>
    <t>Naknada za korišćenje šuma</t>
  </si>
  <si>
    <t>71423</t>
  </si>
  <si>
    <t>Naknada za korišćenje rudnog bogatstva</t>
  </si>
  <si>
    <t>71424</t>
  </si>
  <si>
    <t>Naknada za korišćenje mineralnih sirovina</t>
  </si>
  <si>
    <t>7146</t>
  </si>
  <si>
    <t>Naknada za komunalno opremanje građevinskog zemljišta</t>
  </si>
  <si>
    <t>7147</t>
  </si>
  <si>
    <t>Naknade za izgradnju i održavanje lokalnih puteva</t>
  </si>
  <si>
    <t>7148</t>
  </si>
  <si>
    <t>Naknada za puteve</t>
  </si>
  <si>
    <t>7149</t>
  </si>
  <si>
    <t>Ostale naknade</t>
  </si>
  <si>
    <t>715</t>
  </si>
  <si>
    <t>Ostali prihodi</t>
  </si>
  <si>
    <t>7151</t>
  </si>
  <si>
    <t>Prihodi od kapitala(od kamata, akcija i udjela u dobiti i rente)</t>
  </si>
  <si>
    <t>7152</t>
  </si>
  <si>
    <t>Novčane kazne i oduzete imovinske koristi</t>
  </si>
  <si>
    <t>7153</t>
  </si>
  <si>
    <t>Prihodi koje organi ostvaruju vršenjem svoje djelatnosti</t>
  </si>
  <si>
    <t>7155</t>
  </si>
  <si>
    <t>72</t>
  </si>
  <si>
    <t>Primici od prodaje imovine</t>
  </si>
  <si>
    <t>721</t>
  </si>
  <si>
    <t>Primici od prodaje nefinansijske imovine</t>
  </si>
  <si>
    <t>7211</t>
  </si>
  <si>
    <t>Prodaja nepokretnosti</t>
  </si>
  <si>
    <t>722</t>
  </si>
  <si>
    <t>Primici od prodaje finansijske imovine</t>
  </si>
  <si>
    <t>73</t>
  </si>
  <si>
    <t>Primici od otplate kredita i sredstva prenesena iz prethodne godine</t>
  </si>
  <si>
    <t>731</t>
  </si>
  <si>
    <t>Primici od otplate kredita</t>
  </si>
  <si>
    <t>732</t>
  </si>
  <si>
    <t>Sredstva prenesena iz prethodne godine</t>
  </si>
  <si>
    <t>74</t>
  </si>
  <si>
    <t>Donacije i transferi</t>
  </si>
  <si>
    <t>741</t>
  </si>
  <si>
    <t>Donacije</t>
  </si>
  <si>
    <t>7411</t>
  </si>
  <si>
    <t>Tekuće donacije</t>
  </si>
  <si>
    <t>7412</t>
  </si>
  <si>
    <t>Kapitalne donacije</t>
  </si>
  <si>
    <t>742</t>
  </si>
  <si>
    <t>Transferi</t>
  </si>
  <si>
    <t>7425</t>
  </si>
  <si>
    <t>Transferi od Zavoda za zapošljavanje Crne Gore</t>
  </si>
  <si>
    <t>7426</t>
  </si>
  <si>
    <t>Transferi od Egalizacionog fonda</t>
  </si>
  <si>
    <t>75</t>
  </si>
  <si>
    <t>Pozajmice i krediti</t>
  </si>
  <si>
    <t>751</t>
  </si>
  <si>
    <t>7511</t>
  </si>
  <si>
    <t>Pozajmice i krediti od domaćih izvora</t>
  </si>
  <si>
    <t>7512</t>
  </si>
  <si>
    <t>Pozajmice i krediti od inostranih izvora</t>
  </si>
  <si>
    <t>7</t>
  </si>
  <si>
    <t>UKUPNI PRIHODI (71 + 72 + 73 + 74 + 75)</t>
  </si>
  <si>
    <t>Naknada za korišćenje luke - nautički turizam</t>
  </si>
  <si>
    <t>71464</t>
  </si>
  <si>
    <t>Naknada za izgradnju javnih garaža</t>
  </si>
  <si>
    <t>75111</t>
  </si>
  <si>
    <t>75112</t>
  </si>
  <si>
    <t>Pozajmice i krediti od domaćih finansijskih institucija</t>
  </si>
  <si>
    <t>Pozajmice i krediti od drugih nivoa vlasti</t>
  </si>
  <si>
    <t>UKUPNO:</t>
  </si>
  <si>
    <t>Otplata dugova</t>
  </si>
  <si>
    <t>Kapitalni izdaci</t>
  </si>
  <si>
    <t>Ostali transferi</t>
  </si>
  <si>
    <t>Transferi institucijama, pojedincima, nevladinom i javnom sektoru</t>
  </si>
  <si>
    <t>Transferi za socijalnu zaštitu</t>
  </si>
  <si>
    <t xml:space="preserve">       Izdaci po osnovu troškova sudskih postupaka</t>
  </si>
  <si>
    <t>Ostali izdaci</t>
  </si>
  <si>
    <t>Subvencije</t>
  </si>
  <si>
    <t>Renta</t>
  </si>
  <si>
    <t>Kamate</t>
  </si>
  <si>
    <t>Rashodi za tekuće održavanje</t>
  </si>
  <si>
    <t>Rashodi za usluge</t>
  </si>
  <si>
    <t>Rashodi za materijal</t>
  </si>
  <si>
    <t>Ostala lična primanja</t>
  </si>
  <si>
    <t xml:space="preserve">    Reprogram Poreskog duga po Protokolu</t>
  </si>
  <si>
    <t xml:space="preserve">    Opštinski prirez</t>
  </si>
  <si>
    <t xml:space="preserve">    Doprinosi na teret poslodavca</t>
  </si>
  <si>
    <t xml:space="preserve">    Doprinosi na teret zaposlenog</t>
  </si>
  <si>
    <t xml:space="preserve">    Porez na zarade</t>
  </si>
  <si>
    <t xml:space="preserve">    Neto zarade</t>
  </si>
  <si>
    <t>Bruto zarade i doprinosi na teret poslodavca</t>
  </si>
  <si>
    <t>Otplata obaveza iz prethodnog perioda - analitika</t>
  </si>
  <si>
    <t>Napomena uz izvještaj: analitički pregled izdatka 463 - Otplata obaveza iz prethodnog perioda</t>
  </si>
  <si>
    <t>UKUPNI RASHODI (I+II+III+IV+V)</t>
  </si>
  <si>
    <t/>
  </si>
  <si>
    <t>Ostale rezerve</t>
  </si>
  <si>
    <t>473</t>
  </si>
  <si>
    <t>Stalna budžetska rezerva</t>
  </si>
  <si>
    <t>472</t>
  </si>
  <si>
    <t>Tekuća budžetska rezerva</t>
  </si>
  <si>
    <t>471</t>
  </si>
  <si>
    <t>Rezerve</t>
  </si>
  <si>
    <t>V</t>
  </si>
  <si>
    <t>Otplata obaveza iz prethodnog perioda</t>
  </si>
  <si>
    <t>463-0</t>
  </si>
  <si>
    <t>463</t>
  </si>
  <si>
    <t>Otplata garancija u inostranstvu</t>
  </si>
  <si>
    <t>462-2</t>
  </si>
  <si>
    <t>Otplata garancija u zemlji</t>
  </si>
  <si>
    <t>462-1</t>
  </si>
  <si>
    <t>Otplata garancija</t>
  </si>
  <si>
    <t>462</t>
  </si>
  <si>
    <t>Otplata hartija od vrijednosti i kredita nerezidentima</t>
  </si>
  <si>
    <t>461-2</t>
  </si>
  <si>
    <t>Otplata hartija od vrijednosti i kredita rezidentima</t>
  </si>
  <si>
    <t>461-1</t>
  </si>
  <si>
    <t>Otplata duga</t>
  </si>
  <si>
    <t>461</t>
  </si>
  <si>
    <t>IV</t>
  </si>
  <si>
    <t>Pozajmice i krediti pojedincima</t>
  </si>
  <si>
    <t>451-3</t>
  </si>
  <si>
    <t>Pozajmice i krediti finansijskim institucijama</t>
  </si>
  <si>
    <t>451-2</t>
  </si>
  <si>
    <t>Pozajmice i krediti nefinansijskim institucijama</t>
  </si>
  <si>
    <t>451-1</t>
  </si>
  <si>
    <t>451</t>
  </si>
  <si>
    <t>III</t>
  </si>
  <si>
    <t>Ostali kapitalni izdaci</t>
  </si>
  <si>
    <t>441-9</t>
  </si>
  <si>
    <t>Investiciono održavanje</t>
  </si>
  <si>
    <t>441-6</t>
  </si>
  <si>
    <t>Izdaci za opremu</t>
  </si>
  <si>
    <t>441-5</t>
  </si>
  <si>
    <t>Izdaci za uređenje zemljišta</t>
  </si>
  <si>
    <t>441-4</t>
  </si>
  <si>
    <t>Izdaci za građevinske objekte</t>
  </si>
  <si>
    <t>441-3</t>
  </si>
  <si>
    <t>Izdaci za lokalnu infrastrukturu</t>
  </si>
  <si>
    <t>441-2</t>
  </si>
  <si>
    <t>Izdaci za infrastrukturu od opšteg značaja</t>
  </si>
  <si>
    <t>441-1</t>
  </si>
  <si>
    <t>441</t>
  </si>
  <si>
    <t>II</t>
  </si>
  <si>
    <t>Transferi javnim preduzećima</t>
  </si>
  <si>
    <t>432-6</t>
  </si>
  <si>
    <t>Transferi budžetu Države</t>
  </si>
  <si>
    <t>432-5</t>
  </si>
  <si>
    <t>Transferi opštinama</t>
  </si>
  <si>
    <t>432-4</t>
  </si>
  <si>
    <t>432</t>
  </si>
  <si>
    <t>Ostali transferi institucijama</t>
  </si>
  <si>
    <t>431-9</t>
  </si>
  <si>
    <t>Ostali transferi pojedincima</t>
  </si>
  <si>
    <t>431-8</t>
  </si>
  <si>
    <t>Transferi za lična primanja pripravnika</t>
  </si>
  <si>
    <t>431-7</t>
  </si>
  <si>
    <t>Transferi za jednokratne socijalne pomoći</t>
  </si>
  <si>
    <t>431-6</t>
  </si>
  <si>
    <t>Transferi političkim partijama , strankama i udruženjima</t>
  </si>
  <si>
    <t>431-5</t>
  </si>
  <si>
    <t>Transferi nevladinim organizacijama</t>
  </si>
  <si>
    <t>431-4</t>
  </si>
  <si>
    <t>Transferi institucijama kulture i sporta</t>
  </si>
  <si>
    <t>431-3</t>
  </si>
  <si>
    <t>Transferi obrazovanju</t>
  </si>
  <si>
    <t>431-2</t>
  </si>
  <si>
    <t>Transferi za zdravstvenu zaštitu</t>
  </si>
  <si>
    <t>431-1</t>
  </si>
  <si>
    <t>431</t>
  </si>
  <si>
    <t>43</t>
  </si>
  <si>
    <t>42</t>
  </si>
  <si>
    <t>Ostalo</t>
  </si>
  <si>
    <t>419-9</t>
  </si>
  <si>
    <t>419-8</t>
  </si>
  <si>
    <t>Komunalne naknade</t>
  </si>
  <si>
    <t>419-6</t>
  </si>
  <si>
    <t>Osiguranje</t>
  </si>
  <si>
    <t>419-4</t>
  </si>
  <si>
    <t>Izrada i održavanje softvera</t>
  </si>
  <si>
    <t>419-3</t>
  </si>
  <si>
    <t>Izdaci po osnovu troškova sudskih postupaka</t>
  </si>
  <si>
    <t>419-2</t>
  </si>
  <si>
    <t>Izdaci po osnovu isplate ugovora o djelu</t>
  </si>
  <si>
    <t>419-1</t>
  </si>
  <si>
    <t>419</t>
  </si>
  <si>
    <t>418</t>
  </si>
  <si>
    <t>Zakup zemljišta</t>
  </si>
  <si>
    <t>417-3</t>
  </si>
  <si>
    <t>Zakup opreme</t>
  </si>
  <si>
    <t>417-2</t>
  </si>
  <si>
    <t>Zakup objekata</t>
  </si>
  <si>
    <t>417-1</t>
  </si>
  <si>
    <t>417</t>
  </si>
  <si>
    <t>Kamate nerezidentima</t>
  </si>
  <si>
    <t>416-2</t>
  </si>
  <si>
    <t>Kamate rezidentima</t>
  </si>
  <si>
    <t>416-1</t>
  </si>
  <si>
    <t>416</t>
  </si>
  <si>
    <t>Tekuće održavanje opreme</t>
  </si>
  <si>
    <t>415-3</t>
  </si>
  <si>
    <t>Tekuće održavanje građevinskih objekata</t>
  </si>
  <si>
    <t>415-2</t>
  </si>
  <si>
    <t>Tekuće održavanje javne infrastrukture</t>
  </si>
  <si>
    <t>415-1</t>
  </si>
  <si>
    <t>415</t>
  </si>
  <si>
    <t>Ostale usluge</t>
  </si>
  <si>
    <t>414-9</t>
  </si>
  <si>
    <t>Usluge stručnog usavršavanja</t>
  </si>
  <si>
    <t>414-8</t>
  </si>
  <si>
    <t>Konsultantske usluge, projekti i studije</t>
  </si>
  <si>
    <t>414-7</t>
  </si>
  <si>
    <t>Advokatske, notarske i pravne usluge</t>
  </si>
  <si>
    <t>414-6</t>
  </si>
  <si>
    <t>Usluge prevoza</t>
  </si>
  <si>
    <t>414-5</t>
  </si>
  <si>
    <t>Bankarske usluge i negativne kursne razlike</t>
  </si>
  <si>
    <t>414-4</t>
  </si>
  <si>
    <t>Komunikacione usluge</t>
  </si>
  <si>
    <t>414-3</t>
  </si>
  <si>
    <t>Reprezentacija</t>
  </si>
  <si>
    <t>414-2</t>
  </si>
  <si>
    <t>Službena putovanja</t>
  </si>
  <si>
    <t>414-1</t>
  </si>
  <si>
    <t>414</t>
  </si>
  <si>
    <t>Ostali rashodi za materijal</t>
  </si>
  <si>
    <t>413-9</t>
  </si>
  <si>
    <t>Rashodi za gorivo</t>
  </si>
  <si>
    <t>413-5</t>
  </si>
  <si>
    <t>Rashodi za energiju</t>
  </si>
  <si>
    <t>413-4</t>
  </si>
  <si>
    <t>Materijal za posebne namjene</t>
  </si>
  <si>
    <t>413-3</t>
  </si>
  <si>
    <t>Materijal za zdravstvenu zaštitu</t>
  </si>
  <si>
    <t>413-2</t>
  </si>
  <si>
    <t>Administrativni materijal</t>
  </si>
  <si>
    <t>413-1</t>
  </si>
  <si>
    <t>413</t>
  </si>
  <si>
    <t>412-7</t>
  </si>
  <si>
    <t>Naknada skupštinskim poslanicima</t>
  </si>
  <si>
    <t>412-6</t>
  </si>
  <si>
    <t>Otpremnine</t>
  </si>
  <si>
    <t>412-5</t>
  </si>
  <si>
    <t>Jubilarne nagrade</t>
  </si>
  <si>
    <t>412-4</t>
  </si>
  <si>
    <t>Naknada za prevoz</t>
  </si>
  <si>
    <t>412-3</t>
  </si>
  <si>
    <t>Naknada za stanovanje i odvojeni život</t>
  </si>
  <si>
    <t>412-2</t>
  </si>
  <si>
    <t>Naknada za zimnicu</t>
  </si>
  <si>
    <t>412-1</t>
  </si>
  <si>
    <t>412</t>
  </si>
  <si>
    <t>Opštinski prirez</t>
  </si>
  <si>
    <t>411-5</t>
  </si>
  <si>
    <t>Doprinosi na teret poslodavca</t>
  </si>
  <si>
    <t>411-4</t>
  </si>
  <si>
    <t>Doprinosi na teret zaposlenog</t>
  </si>
  <si>
    <t>411-3</t>
  </si>
  <si>
    <t>Porez na zarade</t>
  </si>
  <si>
    <t>411-2</t>
  </si>
  <si>
    <t>Neto zarade</t>
  </si>
  <si>
    <t>411-1</t>
  </si>
  <si>
    <t>411</t>
  </si>
  <si>
    <t>Tekući izdaci</t>
  </si>
  <si>
    <t>41</t>
  </si>
  <si>
    <t>I</t>
  </si>
  <si>
    <t>% izvršenja godišnjeg budžeta</t>
  </si>
  <si>
    <t>Vrsta rashoda</t>
  </si>
  <si>
    <t>Redni broj</t>
  </si>
  <si>
    <t>OBRAZAC PIR</t>
  </si>
  <si>
    <t>OBRAZAC NEO</t>
  </si>
  <si>
    <t>Vrsta neizmirene obaveze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</si>
  <si>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</si>
  <si>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</si>
  <si>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</si>
  <si>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</si>
  <si>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Obaveze po transferima za socijalnu zaštitu</t>
  </si>
  <si>
    <t>Obaveze za transfere institucijama,pojedincima,NVO</t>
  </si>
  <si>
    <t>Obaveze za kapitalne izdatke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</si>
  <si>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</si>
  <si>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</si>
  <si>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</si>
  <si>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</si>
  <si>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</si>
  <si>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</si>
  <si>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</si>
  <si>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</si>
  <si>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po osnovu reprogramiranog poreskog duga</t>
  </si>
  <si>
    <t>VIII</t>
  </si>
  <si>
    <t>Obaveze iz rezervi</t>
  </si>
  <si>
    <t>UKUPNE NEIZMIRENE OBAVEZE ( I+II+III+IV+V+VI+VII)</t>
  </si>
  <si>
    <t>Reprogramirani poreski dug</t>
  </si>
  <si>
    <t>ukupan iznos reprogramiranog poreskog duga</t>
  </si>
  <si>
    <t xml:space="preserve"> Opština Berane</t>
  </si>
  <si>
    <t>Preduzeća i ustanove čiji je osnivač Opština, za koje Opština vrši uplate po reprogramu</t>
  </si>
  <si>
    <t>mp</t>
  </si>
  <si>
    <t>Potpis ovlašćenog lica</t>
  </si>
  <si>
    <t>OBRAZAC BUZ</t>
  </si>
  <si>
    <t>Vrsta zaduženja</t>
  </si>
  <si>
    <t xml:space="preserve">Ugovoreni iznos sredstava </t>
  </si>
  <si>
    <t xml:space="preserve">Iznos povučenih sredstava </t>
  </si>
  <si>
    <t xml:space="preserve">Iznos otplaćenog duga po glavnici </t>
  </si>
  <si>
    <t xml:space="preserve">Stanje duga </t>
  </si>
  <si>
    <t>Domaći dug</t>
  </si>
  <si>
    <t xml:space="preserve">Krediti </t>
  </si>
  <si>
    <t>a</t>
  </si>
  <si>
    <t>Kratkoročni (glavnica)</t>
  </si>
  <si>
    <t>b</t>
  </si>
  <si>
    <t>Dugoročni (glavnica)</t>
  </si>
  <si>
    <t>Obveznice</t>
  </si>
  <si>
    <t xml:space="preserve"> </t>
  </si>
  <si>
    <t>Inostrani dug</t>
  </si>
  <si>
    <t>Krediti</t>
  </si>
  <si>
    <t xml:space="preserve">     UKUPNO (I+II)</t>
  </si>
  <si>
    <t>Domaće garancije</t>
  </si>
  <si>
    <t>Inostrane garancije</t>
  </si>
  <si>
    <t>UKUPNO IZDATE GARANCIJE (III+IV)</t>
  </si>
  <si>
    <t xml:space="preserve">                                                                                                               </t>
  </si>
  <si>
    <t>Naziv institucije</t>
  </si>
  <si>
    <t>Broj radnika:</t>
  </si>
  <si>
    <t>Opština Berane</t>
  </si>
  <si>
    <t>JU Centar za kulturu</t>
  </si>
  <si>
    <t>JU Polimski muzej</t>
  </si>
  <si>
    <t>DOO Sportski centar</t>
  </si>
  <si>
    <t>DOO Agencija za izgradnju i razvoj Berane</t>
  </si>
  <si>
    <t>Turistička organizacija Berane</t>
  </si>
  <si>
    <t xml:space="preserve">DOO Lokalni javni emiter Radio Berane </t>
  </si>
  <si>
    <t>DOO Benergo</t>
  </si>
  <si>
    <t>DOO Regionalni biznis centar</t>
  </si>
  <si>
    <t>DOO Komunalno Berane</t>
  </si>
  <si>
    <t>DOO Vodovod i kanalizacija Berane</t>
  </si>
  <si>
    <t xml:space="preserve">DOO Parking servis </t>
  </si>
  <si>
    <t>JU Dnevni centar za djecu i omladinu sa smetnjama i teškoćama u razvoju</t>
  </si>
  <si>
    <t>Opštinska organizacija crvenog krsta Berane</t>
  </si>
  <si>
    <t>7427</t>
  </si>
  <si>
    <t>Dotacije opštinama</t>
  </si>
  <si>
    <t>Ostvareno u periodu od 01.03. do 31.03.2026. godine</t>
  </si>
  <si>
    <t>Ostvareno u periodu od 01.01. do 31.03.2026. godine</t>
  </si>
  <si>
    <t>Izvršenje u periodu od 01.01.-31.03.2026. godine</t>
  </si>
  <si>
    <t>Stanje neizmirenih obaveza opštine na 31.03.2026. god.</t>
  </si>
  <si>
    <t>Stanje neizmirenih obaveza javnih preduzeća i ustanova na 31.03.2026. god.</t>
  </si>
  <si>
    <t>dospjeli iznos reprogramiranog poreskog duga na kraju I kvartala 2026. godine</t>
  </si>
  <si>
    <t>plaćeni iznos reprogramiranog poreskog duga  na kraju I kvartala 2026. godine</t>
  </si>
  <si>
    <t>dospjeli neplaćeni iznos reprogramiranog porskog duga na kraju I kvartala 2026. godine</t>
  </si>
  <si>
    <t>Izvršenje u periodu od 01.03. do 31.03.2026. godine</t>
  </si>
  <si>
    <t>Izvršeno u periodu od 01.01. do 31.03.2026. godine</t>
  </si>
  <si>
    <t>Iznos zaduženja javnih preduzeća na kraju I kvartala 2026. god.</t>
  </si>
  <si>
    <t>Iznos zaduženja opštine na kraju I kvartala 2026. god.</t>
  </si>
  <si>
    <t>Broj zaposlenih Opštine Berane, javnih ustanova i preduzeća čiji je osnivač Opština na dan 31.03.2026.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</si>
</sst>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Te\x\t"/>
    <numFmt numFmtId="165" formatCode="#,##0.00\ &quot;£&quot;"/>
    <numFmt numFmtId="166" formatCode="0.00000000000"/>
    <numFmt numFmtId="167" formatCode="#,##0.00000"/>
    <numFmt numFmtId="168" formatCode="#,##0.00\ [$€-41A]"/>
  </numFmts>
  <fonts count="32" x14ac:knownFonts="1">
    <font>
      <sz val="11"/>
      <name val="Calibri"/>
    </font>
    <font>
      <sz val="11"/>
      <color theme="1"/>
      <name val="Calibri"/>
      <family val="2"/>
      <scheme val="minor"/>
    </font>
    <font>
      <sz val="8"/>
      <name val="Cambria"/>
      <family val="1"/>
      <charset val="238"/>
    </font>
    <font>
      <b/>
      <sz val="8"/>
      <name val="Cambria"/>
      <family val="1"/>
    </font>
    <font>
      <sz val="8"/>
      <name val="Cambria"/>
      <family val="1"/>
    </font>
    <font>
      <b/>
      <sz val="9"/>
      <color theme="1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9"/>
      <name val="Cambria"/>
      <family val="1"/>
    </font>
    <font>
      <b/>
      <sz val="11"/>
      <color theme="1"/>
      <name val="Calibri"/>
      <family val="2"/>
      <scheme val="minor"/>
    </font>
    <font>
      <sz val="11"/>
      <name val="Cambria"/>
      <family val="1"/>
    </font>
    <font>
      <sz val="10"/>
      <color indexed="8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1"/>
      <color indexed="8"/>
      <name val="Calibri"/>
      <family val="2"/>
    </font>
    <font>
      <b/>
      <sz val="11"/>
      <name val="Cambria"/>
      <family val="1"/>
    </font>
    <font>
      <sz val="9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Cambria"/>
      <family val="1"/>
      <charset val="238"/>
    </font>
    <font>
      <b/>
      <sz val="1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9" fillId="0" borderId="0"/>
    <xf numFmtId="0" fontId="24" fillId="0" borderId="0">
      <alignment vertical="top"/>
    </xf>
    <xf numFmtId="0" fontId="25" fillId="0" borderId="0"/>
    <xf numFmtId="0" fontId="26" fillId="0" borderId="0">
      <alignment vertical="top"/>
    </xf>
  </cellStyleXfs>
  <cellXfs count="239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 wrapText="1"/>
    </xf>
    <xf numFmtId="49" fontId="2" fillId="0" borderId="0" xfId="0" applyNumberFormat="1" applyFont="1"/>
    <xf numFmtId="49" fontId="4" fillId="0" borderId="0" xfId="0" applyNumberFormat="1" applyFont="1"/>
    <xf numFmtId="49" fontId="8" fillId="0" borderId="0" xfId="0" applyNumberFormat="1" applyFont="1"/>
    <xf numFmtId="0" fontId="3" fillId="0" borderId="0" xfId="0" applyFont="1"/>
    <xf numFmtId="164" fontId="3" fillId="0" borderId="8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8" fillId="0" borderId="0" xfId="0" applyFont="1"/>
    <xf numFmtId="4" fontId="3" fillId="0" borderId="6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2" fillId="0" borderId="0" xfId="0" applyNumberFormat="1" applyFont="1"/>
    <xf numFmtId="0" fontId="10" fillId="0" borderId="0" xfId="0" applyFont="1"/>
    <xf numFmtId="0" fontId="11" fillId="0" borderId="0" xfId="1" applyFont="1"/>
    <xf numFmtId="0" fontId="12" fillId="0" borderId="0" xfId="1" applyFont="1"/>
    <xf numFmtId="0" fontId="15" fillId="0" borderId="3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/>
    </xf>
    <xf numFmtId="4" fontId="12" fillId="0" borderId="0" xfId="1" applyNumberFormat="1" applyFont="1"/>
    <xf numFmtId="16" fontId="16" fillId="0" borderId="7" xfId="1" applyNumberFormat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/>
    <xf numFmtId="4" fontId="0" fillId="0" borderId="0" xfId="0" applyNumberFormat="1"/>
    <xf numFmtId="4" fontId="10" fillId="0" borderId="0" xfId="0" applyNumberFormat="1" applyFont="1"/>
    <xf numFmtId="167" fontId="10" fillId="0" borderId="0" xfId="0" applyNumberFormat="1" applyFont="1"/>
    <xf numFmtId="0" fontId="1" fillId="0" borderId="2" xfId="1" applyBorder="1"/>
    <xf numFmtId="0" fontId="1" fillId="0" borderId="2" xfId="1" applyBorder="1" applyAlignment="1">
      <alignment wrapText="1"/>
    </xf>
    <xf numFmtId="0" fontId="9" fillId="0" borderId="4" xfId="1" applyFont="1" applyBorder="1"/>
    <xf numFmtId="0" fontId="9" fillId="0" borderId="5" xfId="1" applyFont="1" applyBorder="1"/>
    <xf numFmtId="0" fontId="1" fillId="0" borderId="8" xfId="1" applyBorder="1"/>
    <xf numFmtId="0" fontId="9" fillId="0" borderId="9" xfId="1" applyFont="1" applyBorder="1"/>
    <xf numFmtId="0" fontId="9" fillId="0" borderId="3" xfId="1" applyFont="1" applyBorder="1"/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165" fontId="18" fillId="0" borderId="0" xfId="1" applyNumberFormat="1" applyFont="1" applyAlignment="1">
      <alignment horizontal="center" vertical="center"/>
    </xf>
    <xf numFmtId="165" fontId="0" fillId="0" borderId="0" xfId="0" applyNumberFormat="1"/>
    <xf numFmtId="165" fontId="10" fillId="0" borderId="0" xfId="0" applyNumberFormat="1" applyFont="1"/>
    <xf numFmtId="4" fontId="2" fillId="0" borderId="6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" fillId="0" borderId="30" xfId="1" applyBorder="1" applyAlignment="1">
      <alignment horizontal="center"/>
    </xf>
    <xf numFmtId="0" fontId="8" fillId="0" borderId="39" xfId="2" applyFont="1" applyBorder="1" applyAlignment="1">
      <alignment horizontal="center"/>
    </xf>
    <xf numFmtId="0" fontId="8" fillId="0" borderId="40" xfId="2" applyFont="1" applyBorder="1"/>
    <xf numFmtId="0" fontId="8" fillId="0" borderId="22" xfId="2" applyFont="1" applyBorder="1" applyAlignment="1">
      <alignment horizontal="right"/>
    </xf>
    <xf numFmtId="0" fontId="8" fillId="0" borderId="20" xfId="2" applyFont="1" applyBorder="1"/>
    <xf numFmtId="0" fontId="21" fillId="0" borderId="22" xfId="2" applyFont="1" applyBorder="1" applyAlignment="1">
      <alignment horizontal="right"/>
    </xf>
    <xf numFmtId="0" fontId="21" fillId="0" borderId="20" xfId="2" applyFont="1" applyBorder="1"/>
    <xf numFmtId="0" fontId="8" fillId="0" borderId="22" xfId="2" applyFont="1" applyBorder="1" applyAlignment="1">
      <alignment horizontal="center"/>
    </xf>
    <xf numFmtId="0" fontId="8" fillId="0" borderId="26" xfId="2" applyFont="1" applyBorder="1" applyAlignment="1">
      <alignment horizontal="center"/>
    </xf>
    <xf numFmtId="0" fontId="8" fillId="0" borderId="24" xfId="2" applyFont="1" applyBorder="1"/>
    <xf numFmtId="0" fontId="19" fillId="0" borderId="0" xfId="2"/>
    <xf numFmtId="4" fontId="3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3" fillId="0" borderId="0" xfId="0" applyNumberFormat="1" applyFont="1"/>
    <xf numFmtId="166" fontId="4" fillId="0" borderId="0" xfId="0" applyNumberFormat="1" applyFont="1"/>
    <xf numFmtId="16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/>
    <xf numFmtId="4" fontId="4" fillId="0" borderId="2" xfId="0" applyNumberFormat="1" applyFont="1" applyBorder="1"/>
    <xf numFmtId="4" fontId="2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/>
    <xf numFmtId="4" fontId="3" fillId="0" borderId="2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6" fillId="0" borderId="2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left" vertical="justify" wrapText="1"/>
    </xf>
    <xf numFmtId="0" fontId="5" fillId="0" borderId="2" xfId="0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4" fontId="2" fillId="0" borderId="20" xfId="0" applyNumberFormat="1" applyFont="1" applyBorder="1"/>
    <xf numFmtId="4" fontId="9" fillId="0" borderId="0" xfId="0" applyNumberFormat="1" applyFont="1"/>
    <xf numFmtId="4" fontId="4" fillId="0" borderId="2" xfId="0" applyNumberFormat="1" applyFont="1" applyBorder="1" applyAlignment="1">
      <alignment vertical="center"/>
    </xf>
    <xf numFmtId="4" fontId="4" fillId="0" borderId="20" xfId="0" applyNumberFormat="1" applyFont="1" applyBorder="1"/>
    <xf numFmtId="0" fontId="28" fillId="0" borderId="0" xfId="0" applyFont="1"/>
    <xf numFmtId="0" fontId="25" fillId="0" borderId="0" xfId="0" applyFont="1"/>
    <xf numFmtId="2" fontId="0" fillId="0" borderId="0" xfId="0" applyNumberFormat="1"/>
    <xf numFmtId="2" fontId="28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0" fontId="8" fillId="0" borderId="35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4" fontId="17" fillId="0" borderId="9" xfId="1" applyNumberFormat="1" applyFont="1" applyBorder="1" applyAlignment="1">
      <alignment horizontal="center"/>
    </xf>
    <xf numFmtId="4" fontId="17" fillId="0" borderId="10" xfId="1" applyNumberFormat="1" applyFont="1" applyBorder="1" applyAlignment="1">
      <alignment horizontal="center"/>
    </xf>
    <xf numFmtId="0" fontId="9" fillId="0" borderId="10" xfId="1" applyFont="1" applyBorder="1"/>
    <xf numFmtId="4" fontId="25" fillId="0" borderId="0" xfId="0" applyNumberFormat="1" applyFont="1"/>
    <xf numFmtId="2" fontId="1" fillId="0" borderId="0" xfId="1" applyNumberFormat="1"/>
    <xf numFmtId="4" fontId="1" fillId="0" borderId="0" xfId="1" applyNumberFormat="1"/>
    <xf numFmtId="0" fontId="1" fillId="0" borderId="0" xfId="1" applyAlignment="1">
      <alignment horizontal="center"/>
    </xf>
    <xf numFmtId="0" fontId="1" fillId="0" borderId="30" xfId="1" applyBorder="1"/>
    <xf numFmtId="4" fontId="4" fillId="2" borderId="2" xfId="0" applyNumberFormat="1" applyFont="1" applyFill="1" applyBorder="1"/>
    <xf numFmtId="4" fontId="3" fillId="2" borderId="2" xfId="0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4" fontId="2" fillId="2" borderId="2" xfId="0" applyNumberFormat="1" applyFont="1" applyFill="1" applyBorder="1"/>
    <xf numFmtId="49" fontId="3" fillId="0" borderId="7" xfId="0" applyNumberFormat="1" applyFont="1" applyBorder="1" applyAlignment="1">
      <alignment horizontal="right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17" fontId="2" fillId="0" borderId="0" xfId="0" applyNumberFormat="1" applyFont="1"/>
    <xf numFmtId="4" fontId="3" fillId="0" borderId="0" xfId="0" applyNumberFormat="1" applyFont="1" applyAlignment="1">
      <alignment horizontal="right" vertical="center"/>
    </xf>
    <xf numFmtId="4" fontId="3" fillId="2" borderId="0" xfId="0" applyNumberFormat="1" applyFont="1" applyFill="1"/>
    <xf numFmtId="164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17" fillId="2" borderId="2" xfId="1" applyNumberFormat="1" applyFont="1" applyFill="1" applyBorder="1" applyAlignment="1">
      <alignment horizontal="center" vertical="center"/>
    </xf>
    <xf numFmtId="4" fontId="18" fillId="2" borderId="2" xfId="1" applyNumberFormat="1" applyFont="1" applyFill="1" applyBorder="1" applyAlignment="1">
      <alignment horizontal="center" vertical="center"/>
    </xf>
    <xf numFmtId="4" fontId="18" fillId="2" borderId="6" xfId="1" applyNumberFormat="1" applyFont="1" applyFill="1" applyBorder="1" applyAlignment="1">
      <alignment horizontal="center" vertical="center"/>
    </xf>
    <xf numFmtId="168" fontId="8" fillId="2" borderId="41" xfId="2" applyNumberFormat="1" applyFont="1" applyFill="1" applyBorder="1"/>
    <xf numFmtId="168" fontId="8" fillId="2" borderId="42" xfId="2" applyNumberFormat="1" applyFont="1" applyFill="1" applyBorder="1"/>
    <xf numFmtId="168" fontId="8" fillId="2" borderId="43" xfId="2" applyNumberFormat="1" applyFont="1" applyFill="1" applyBorder="1"/>
    <xf numFmtId="168" fontId="8" fillId="2" borderId="2" xfId="2" applyNumberFormat="1" applyFont="1" applyFill="1" applyBorder="1"/>
    <xf numFmtId="168" fontId="8" fillId="2" borderId="7" xfId="2" applyNumberFormat="1" applyFont="1" applyFill="1" applyBorder="1"/>
    <xf numFmtId="168" fontId="8" fillId="2" borderId="23" xfId="2" applyNumberFormat="1" applyFont="1" applyFill="1" applyBorder="1"/>
    <xf numFmtId="168" fontId="21" fillId="2" borderId="2" xfId="2" applyNumberFormat="1" applyFont="1" applyFill="1" applyBorder="1"/>
    <xf numFmtId="168" fontId="21" fillId="2" borderId="7" xfId="2" applyNumberFormat="1" applyFont="1" applyFill="1" applyBorder="1"/>
    <xf numFmtId="168" fontId="21" fillId="2" borderId="6" xfId="2" applyNumberFormat="1" applyFont="1" applyFill="1" applyBorder="1"/>
    <xf numFmtId="168" fontId="8" fillId="2" borderId="6" xfId="2" applyNumberFormat="1" applyFont="1" applyFill="1" applyBorder="1"/>
    <xf numFmtId="168" fontId="8" fillId="2" borderId="46" xfId="2" applyNumberFormat="1" applyFont="1" applyFill="1" applyBorder="1"/>
    <xf numFmtId="168" fontId="8" fillId="2" borderId="47" xfId="2" applyNumberFormat="1" applyFont="1" applyFill="1" applyBorder="1"/>
    <xf numFmtId="168" fontId="8" fillId="2" borderId="48" xfId="2" applyNumberFormat="1" applyFont="1" applyFill="1" applyBorder="1"/>
    <xf numFmtId="168" fontId="8" fillId="2" borderId="49" xfId="2" applyNumberFormat="1" applyFont="1" applyFill="1" applyBorder="1"/>
    <xf numFmtId="168" fontId="21" fillId="2" borderId="41" xfId="2" applyNumberFormat="1" applyFont="1" applyFill="1" applyBorder="1"/>
    <xf numFmtId="168" fontId="21" fillId="2" borderId="42" xfId="2" applyNumberFormat="1" applyFont="1" applyFill="1" applyBorder="1"/>
    <xf numFmtId="168" fontId="21" fillId="2" borderId="50" xfId="2" applyNumberFormat="1" applyFont="1" applyFill="1" applyBorder="1"/>
    <xf numFmtId="168" fontId="8" fillId="2" borderId="9" xfId="2" applyNumberFormat="1" applyFont="1" applyFill="1" applyBorder="1"/>
    <xf numFmtId="168" fontId="21" fillId="2" borderId="8" xfId="2" applyNumberFormat="1" applyFont="1" applyFill="1" applyBorder="1"/>
    <xf numFmtId="168" fontId="21" fillId="2" borderId="9" xfId="2" applyNumberFormat="1" applyFont="1" applyFill="1" applyBorder="1"/>
    <xf numFmtId="168" fontId="21" fillId="2" borderId="10" xfId="2" applyNumberFormat="1" applyFont="1" applyFill="1" applyBorder="1"/>
    <xf numFmtId="168" fontId="8" fillId="2" borderId="53" xfId="2" applyNumberFormat="1" applyFont="1" applyFill="1" applyBorder="1"/>
    <xf numFmtId="168" fontId="8" fillId="2" borderId="54" xfId="2" applyNumberFormat="1" applyFont="1" applyFill="1" applyBorder="1"/>
    <xf numFmtId="168" fontId="8" fillId="2" borderId="55" xfId="2" applyNumberFormat="1" applyFont="1" applyFill="1" applyBorder="1"/>
    <xf numFmtId="0" fontId="1" fillId="2" borderId="6" xfId="1" applyFill="1" applyBorder="1" applyAlignment="1">
      <alignment vertical="center"/>
    </xf>
    <xf numFmtId="0" fontId="31" fillId="2" borderId="6" xfId="1" applyFont="1" applyFill="1" applyBorder="1" applyAlignment="1">
      <alignment vertical="center"/>
    </xf>
    <xf numFmtId="165" fontId="18" fillId="2" borderId="0" xfId="1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57" xfId="0" applyNumberFormat="1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/>
    </xf>
    <xf numFmtId="0" fontId="17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0" xfId="1" applyAlignment="1">
      <alignment horizontal="center"/>
    </xf>
    <xf numFmtId="0" fontId="17" fillId="0" borderId="7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" fontId="17" fillId="2" borderId="2" xfId="1" applyNumberFormat="1" applyFont="1" applyFill="1" applyBorder="1" applyAlignment="1">
      <alignment horizontal="center" vertical="center" wrapText="1"/>
    </xf>
    <xf numFmtId="4" fontId="18" fillId="2" borderId="62" xfId="1" applyNumberFormat="1" applyFont="1" applyFill="1" applyBorder="1" applyAlignment="1">
      <alignment horizontal="center" vertical="center"/>
    </xf>
    <xf numFmtId="4" fontId="18" fillId="2" borderId="63" xfId="1" applyNumberFormat="1" applyFont="1" applyFill="1" applyBorder="1" applyAlignment="1">
      <alignment horizontal="center" vertical="center"/>
    </xf>
    <xf numFmtId="4" fontId="18" fillId="2" borderId="28" xfId="1" applyNumberFormat="1" applyFont="1" applyFill="1" applyBorder="1" applyAlignment="1">
      <alignment horizontal="center" vertical="center"/>
    </xf>
    <xf numFmtId="4" fontId="18" fillId="2" borderId="29" xfId="1" applyNumberFormat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4" fontId="15" fillId="2" borderId="11" xfId="1" applyNumberFormat="1" applyFont="1" applyFill="1" applyBorder="1" applyAlignment="1">
      <alignment horizontal="right" vertical="center"/>
    </xf>
    <xf numFmtId="4" fontId="15" fillId="2" borderId="13" xfId="1" applyNumberFormat="1" applyFont="1" applyFill="1" applyBorder="1" applyAlignment="1">
      <alignment horizontal="right" vertical="center"/>
    </xf>
    <xf numFmtId="4" fontId="15" fillId="0" borderId="11" xfId="1" applyNumberFormat="1" applyFont="1" applyBorder="1" applyAlignment="1">
      <alignment horizontal="right" vertical="center"/>
    </xf>
    <xf numFmtId="4" fontId="15" fillId="0" borderId="13" xfId="1" applyNumberFormat="1" applyFont="1" applyBorder="1" applyAlignment="1">
      <alignment horizontal="right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 wrapText="1"/>
    </xf>
    <xf numFmtId="4" fontId="17" fillId="0" borderId="2" xfId="1" applyNumberFormat="1" applyFont="1" applyBorder="1" applyAlignment="1">
      <alignment horizontal="center" vertical="center" wrapText="1"/>
    </xf>
    <xf numFmtId="4" fontId="17" fillId="0" borderId="5" xfId="1" applyNumberFormat="1" applyFont="1" applyBorder="1" applyAlignment="1">
      <alignment horizontal="center" vertical="center" wrapText="1"/>
    </xf>
    <xf numFmtId="4" fontId="17" fillId="0" borderId="6" xfId="1" applyNumberFormat="1" applyFont="1" applyBorder="1" applyAlignment="1">
      <alignment horizontal="center" vertical="center" wrapText="1"/>
    </xf>
    <xf numFmtId="0" fontId="15" fillId="0" borderId="20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4" fontId="15" fillId="2" borderId="22" xfId="1" applyNumberFormat="1" applyFont="1" applyFill="1" applyBorder="1" applyAlignment="1">
      <alignment horizontal="right" vertical="center"/>
    </xf>
    <xf numFmtId="4" fontId="15" fillId="2" borderId="23" xfId="1" applyNumberFormat="1" applyFont="1" applyFill="1" applyBorder="1" applyAlignment="1">
      <alignment horizontal="right" vertical="center"/>
    </xf>
    <xf numFmtId="4" fontId="15" fillId="2" borderId="22" xfId="1" applyNumberFormat="1" applyFont="1" applyFill="1" applyBorder="1" applyAlignment="1">
      <alignment horizontal="right"/>
    </xf>
    <xf numFmtId="4" fontId="15" fillId="2" borderId="23" xfId="1" applyNumberFormat="1" applyFont="1" applyFill="1" applyBorder="1" applyAlignment="1">
      <alignment horizontal="right"/>
    </xf>
    <xf numFmtId="0" fontId="15" fillId="0" borderId="24" xfId="1" applyFont="1" applyBorder="1" applyAlignment="1">
      <alignment horizontal="left"/>
    </xf>
    <xf numFmtId="0" fontId="15" fillId="0" borderId="25" xfId="1" applyFont="1" applyBorder="1" applyAlignment="1">
      <alignment horizontal="left"/>
    </xf>
    <xf numFmtId="4" fontId="15" fillId="2" borderId="26" xfId="1" applyNumberFormat="1" applyFont="1" applyFill="1" applyBorder="1" applyAlignment="1">
      <alignment horizontal="right" vertical="center"/>
    </xf>
    <xf numFmtId="4" fontId="15" fillId="2" borderId="27" xfId="1" applyNumberFormat="1" applyFont="1" applyFill="1" applyBorder="1" applyAlignment="1">
      <alignment horizontal="right" vertical="center"/>
    </xf>
    <xf numFmtId="4" fontId="15" fillId="2" borderId="26" xfId="1" applyNumberFormat="1" applyFont="1" applyFill="1" applyBorder="1" applyAlignment="1">
      <alignment horizontal="right"/>
    </xf>
    <xf numFmtId="4" fontId="15" fillId="2" borderId="27" xfId="1" applyNumberFormat="1" applyFont="1" applyFill="1" applyBorder="1" applyAlignment="1">
      <alignment horizontal="right"/>
    </xf>
    <xf numFmtId="0" fontId="15" fillId="0" borderId="20" xfId="1" applyFont="1" applyBorder="1" applyAlignment="1">
      <alignment vertical="center"/>
    </xf>
    <xf numFmtId="0" fontId="15" fillId="0" borderId="21" xfId="1" applyFont="1" applyBorder="1" applyAlignment="1">
      <alignment vertical="center"/>
    </xf>
    <xf numFmtId="4" fontId="16" fillId="2" borderId="22" xfId="1" applyNumberFormat="1" applyFont="1" applyFill="1" applyBorder="1" applyAlignment="1">
      <alignment horizontal="right" vertical="center"/>
    </xf>
    <xf numFmtId="4" fontId="16" fillId="2" borderId="23" xfId="1" applyNumberFormat="1" applyFont="1" applyFill="1" applyBorder="1" applyAlignment="1">
      <alignment horizontal="right" vertical="center"/>
    </xf>
    <xf numFmtId="4" fontId="16" fillId="2" borderId="22" xfId="1" applyNumberFormat="1" applyFont="1" applyFill="1" applyBorder="1" applyAlignment="1">
      <alignment horizontal="right"/>
    </xf>
    <xf numFmtId="4" fontId="16" fillId="2" borderId="23" xfId="1" applyNumberFormat="1" applyFont="1" applyFill="1" applyBorder="1" applyAlignment="1">
      <alignment horizontal="right"/>
    </xf>
    <xf numFmtId="0" fontId="16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6" fillId="0" borderId="20" xfId="1" applyFont="1" applyBorder="1" applyAlignment="1">
      <alignment vertical="center" wrapText="1"/>
    </xf>
    <xf numFmtId="0" fontId="16" fillId="0" borderId="21" xfId="1" applyFont="1" applyBorder="1" applyAlignment="1">
      <alignment vertical="center" wrapText="1"/>
    </xf>
    <xf numFmtId="4" fontId="15" fillId="0" borderId="22" xfId="1" applyNumberFormat="1" applyFont="1" applyBorder="1" applyAlignment="1">
      <alignment horizontal="right" vertical="center"/>
    </xf>
    <xf numFmtId="4" fontId="15" fillId="0" borderId="23" xfId="1" applyNumberFormat="1" applyFont="1" applyBorder="1" applyAlignment="1">
      <alignment horizontal="right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" fillId="0" borderId="56" xfId="1" applyBorder="1" applyAlignment="1">
      <alignment horizontal="center"/>
    </xf>
    <xf numFmtId="0" fontId="8" fillId="0" borderId="44" xfId="2" applyFont="1" applyBorder="1" applyAlignment="1">
      <alignment horizontal="left"/>
    </xf>
    <xf numFmtId="0" fontId="8" fillId="0" borderId="45" xfId="2" applyFont="1" applyBorder="1" applyAlignment="1">
      <alignment horizontal="left"/>
    </xf>
    <xf numFmtId="0" fontId="8" fillId="0" borderId="51" xfId="2" applyFont="1" applyBorder="1" applyAlignment="1">
      <alignment horizontal="center"/>
    </xf>
    <xf numFmtId="0" fontId="8" fillId="0" borderId="52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0" fillId="0" borderId="13" xfId="2" applyFont="1" applyBorder="1" applyAlignment="1">
      <alignment horizontal="center"/>
    </xf>
    <xf numFmtId="0" fontId="8" fillId="0" borderId="31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 wrapText="1"/>
    </xf>
    <xf numFmtId="49" fontId="8" fillId="0" borderId="17" xfId="2" applyNumberFormat="1" applyFont="1" applyBorder="1" applyAlignment="1">
      <alignment horizontal="center" vertical="center" wrapText="1"/>
    </xf>
    <xf numFmtId="49" fontId="8" fillId="0" borderId="19" xfId="2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wrapText="1"/>
    </xf>
    <xf numFmtId="0" fontId="9" fillId="0" borderId="59" xfId="1" applyFont="1" applyBorder="1" applyAlignment="1">
      <alignment horizontal="center" wrapText="1"/>
    </xf>
    <xf numFmtId="0" fontId="9" fillId="0" borderId="15" xfId="1" applyFont="1" applyBorder="1" applyAlignment="1">
      <alignment horizontal="center" wrapText="1"/>
    </xf>
    <xf numFmtId="0" fontId="9" fillId="0" borderId="51" xfId="1" applyFont="1" applyBorder="1" applyAlignment="1">
      <alignment horizontal="center" wrapText="1"/>
    </xf>
    <xf numFmtId="0" fontId="9" fillId="0" borderId="60" xfId="1" applyFont="1" applyBorder="1" applyAlignment="1">
      <alignment horizontal="center" wrapText="1"/>
    </xf>
    <xf numFmtId="0" fontId="9" fillId="0" borderId="61" xfId="1" applyFont="1" applyBorder="1" applyAlignment="1">
      <alignment horizontal="center" wrapText="1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5" xr:uid="{00000000-0005-0000-0000-000003000000}"/>
    <cellStyle name="Normal 3" xfId="4" xr:uid="{00000000-0005-0000-0000-000004000000}"/>
    <cellStyle name="Normal_buz final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tabSelected="1" workbookViewId="0">
      <selection activeCell="J25" sqref="J25"/>
    </sheetView>
  </sheetViews>
  <sheetFormatPr defaultColWidth="9.140625" defaultRowHeight="10.5" x14ac:dyDescent="0.15"/>
  <cols>
    <col min="1" max="1" width="9" style="9" customWidth="1"/>
    <col min="2" max="2" width="38.28515625" style="1" customWidth="1"/>
    <col min="3" max="3" width="12.28515625" style="1" customWidth="1"/>
    <col min="4" max="4" width="12.5703125" style="1" customWidth="1"/>
    <col min="5" max="5" width="12.140625" style="1" customWidth="1"/>
    <col min="6" max="6" width="9.140625" style="7" customWidth="1"/>
    <col min="7" max="7" width="9.140625" style="1" customWidth="1"/>
    <col min="8" max="16384" width="9.140625" style="1"/>
  </cols>
  <sheetData>
    <row r="1" spans="1:6" ht="11.25" thickBot="1" x14ac:dyDescent="0.2"/>
    <row r="2" spans="1:6" ht="17.25" customHeight="1" thickBot="1" x14ac:dyDescent="0.2">
      <c r="E2" s="150" t="s">
        <v>0</v>
      </c>
      <c r="F2" s="150" t="s">
        <v>0</v>
      </c>
    </row>
    <row r="3" spans="1:6" ht="11.25" thickBot="1" x14ac:dyDescent="0.2"/>
    <row r="4" spans="1:6" ht="24.75" customHeight="1" x14ac:dyDescent="0.15">
      <c r="A4" s="151" t="s">
        <v>1</v>
      </c>
      <c r="B4" s="152" t="s">
        <v>1</v>
      </c>
      <c r="C4" s="152" t="s">
        <v>1</v>
      </c>
      <c r="D4" s="152" t="s">
        <v>1</v>
      </c>
      <c r="E4" s="152" t="s">
        <v>1</v>
      </c>
      <c r="F4" s="153" t="s">
        <v>1</v>
      </c>
    </row>
    <row r="5" spans="1:6" ht="55.5" customHeight="1" x14ac:dyDescent="0.15">
      <c r="A5" s="107"/>
      <c r="B5" s="2" t="s">
        <v>2</v>
      </c>
      <c r="C5" s="118" t="s">
        <v>3</v>
      </c>
      <c r="D5" s="118" t="s">
        <v>372</v>
      </c>
      <c r="E5" s="118" t="s">
        <v>373</v>
      </c>
      <c r="F5" s="6" t="s">
        <v>4</v>
      </c>
    </row>
    <row r="6" spans="1:6" ht="13.5" customHeight="1" x14ac:dyDescent="0.15">
      <c r="A6" s="108" t="s">
        <v>5</v>
      </c>
      <c r="B6" s="3" t="s">
        <v>6</v>
      </c>
      <c r="C6" s="67">
        <f>SUM(C7,C12,C16,C32)</f>
        <v>8669000</v>
      </c>
      <c r="D6" s="61">
        <f>SUM(D7,D12,D16,D32)</f>
        <v>728919.12000000011</v>
      </c>
      <c r="E6" s="61">
        <f>SUM(E7,E12,E16,E32)</f>
        <v>1674340.0999999999</v>
      </c>
      <c r="F6" s="16">
        <f>E6/C6*100</f>
        <v>19.314108893759371</v>
      </c>
    </row>
    <row r="7" spans="1:6" ht="10.5" customHeight="1" x14ac:dyDescent="0.15">
      <c r="A7" s="108" t="s">
        <v>7</v>
      </c>
      <c r="B7" s="3" t="s">
        <v>8</v>
      </c>
      <c r="C7" s="67">
        <f>SUM(C8:C11)</f>
        <v>7059000</v>
      </c>
      <c r="D7" s="67">
        <f t="shared" ref="D7" si="0">SUM(D8:D11)</f>
        <v>563220.47999999998</v>
      </c>
      <c r="E7" s="67">
        <f>SUM(E8:E11)</f>
        <v>1394201.3099999998</v>
      </c>
      <c r="F7" s="16">
        <f t="shared" ref="F7:F54" si="1">E7/C7*100</f>
        <v>19.750691457713554</v>
      </c>
    </row>
    <row r="8" spans="1:6" x14ac:dyDescent="0.15">
      <c r="A8" s="109" t="s">
        <v>9</v>
      </c>
      <c r="B8" s="65" t="s">
        <v>10</v>
      </c>
      <c r="C8" s="68">
        <v>5819000</v>
      </c>
      <c r="D8" s="68">
        <v>455260</v>
      </c>
      <c r="E8" s="68">
        <v>1011633.34</v>
      </c>
      <c r="F8" s="8">
        <f t="shared" si="1"/>
        <v>17.385003265165835</v>
      </c>
    </row>
    <row r="9" spans="1:6" x14ac:dyDescent="0.15">
      <c r="A9" s="109" t="s">
        <v>11</v>
      </c>
      <c r="B9" s="78" t="s">
        <v>12</v>
      </c>
      <c r="C9" s="68">
        <v>700000</v>
      </c>
      <c r="D9" s="68">
        <v>56165.760000000002</v>
      </c>
      <c r="E9" s="68">
        <v>152882.39000000001</v>
      </c>
      <c r="F9" s="8">
        <f t="shared" si="1"/>
        <v>21.840341428571431</v>
      </c>
    </row>
    <row r="10" spans="1:6" x14ac:dyDescent="0.15">
      <c r="A10" s="109" t="s">
        <v>13</v>
      </c>
      <c r="B10" s="78" t="s">
        <v>14</v>
      </c>
      <c r="C10" s="68">
        <v>120000</v>
      </c>
      <c r="D10" s="68">
        <v>8148.81</v>
      </c>
      <c r="E10" s="68">
        <v>111477.41</v>
      </c>
      <c r="F10" s="8">
        <f t="shared" si="1"/>
        <v>92.897841666666665</v>
      </c>
    </row>
    <row r="11" spans="1:6" x14ac:dyDescent="0.15">
      <c r="A11" s="109" t="s">
        <v>15</v>
      </c>
      <c r="B11" s="78" t="s">
        <v>16</v>
      </c>
      <c r="C11" s="68">
        <v>420000</v>
      </c>
      <c r="D11" s="68">
        <v>43645.91</v>
      </c>
      <c r="E11" s="68">
        <v>118208.17</v>
      </c>
      <c r="F11" s="8">
        <f t="shared" si="1"/>
        <v>28.144802380952385</v>
      </c>
    </row>
    <row r="12" spans="1:6" x14ac:dyDescent="0.15">
      <c r="A12" s="108" t="s">
        <v>17</v>
      </c>
      <c r="B12" s="3" t="s">
        <v>18</v>
      </c>
      <c r="C12" s="67">
        <f>SUM(C13:C15)</f>
        <v>84000</v>
      </c>
      <c r="D12" s="67">
        <f t="shared" ref="D12:E12" si="2">SUM(D13:D15)</f>
        <v>6634.3799999999992</v>
      </c>
      <c r="E12" s="67">
        <f t="shared" si="2"/>
        <v>23887.49</v>
      </c>
      <c r="F12" s="16">
        <f>E12/C12*100</f>
        <v>28.437488095238095</v>
      </c>
    </row>
    <row r="13" spans="1:6" x14ac:dyDescent="0.15">
      <c r="A13" s="109" t="s">
        <v>19</v>
      </c>
      <c r="B13" s="78" t="s">
        <v>20</v>
      </c>
      <c r="C13" s="68">
        <v>24000</v>
      </c>
      <c r="D13" s="68">
        <v>2190.94</v>
      </c>
      <c r="E13" s="68">
        <v>4285.38</v>
      </c>
      <c r="F13" s="8">
        <f t="shared" si="1"/>
        <v>17.85575</v>
      </c>
    </row>
    <row r="14" spans="1:6" x14ac:dyDescent="0.15">
      <c r="A14" s="109" t="s">
        <v>21</v>
      </c>
      <c r="B14" s="78" t="s">
        <v>22</v>
      </c>
      <c r="C14" s="68">
        <v>60000</v>
      </c>
      <c r="D14" s="68">
        <v>4443.4399999999996</v>
      </c>
      <c r="E14" s="68">
        <v>19602.11</v>
      </c>
      <c r="F14" s="8">
        <f t="shared" si="1"/>
        <v>32.670183333333334</v>
      </c>
    </row>
    <row r="15" spans="1:6" x14ac:dyDescent="0.15">
      <c r="A15" s="109" t="s">
        <v>23</v>
      </c>
      <c r="B15" s="78" t="s">
        <v>24</v>
      </c>
      <c r="C15" s="70">
        <v>0</v>
      </c>
      <c r="D15" s="68">
        <v>0</v>
      </c>
      <c r="E15" s="68">
        <v>0</v>
      </c>
      <c r="F15" s="8">
        <v>0</v>
      </c>
    </row>
    <row r="16" spans="1:6" x14ac:dyDescent="0.15">
      <c r="A16" s="108" t="s">
        <v>25</v>
      </c>
      <c r="B16" s="3" t="s">
        <v>26</v>
      </c>
      <c r="C16" s="67">
        <f>SUM(C17,C22,C27,C29:C31)</f>
        <v>1057000</v>
      </c>
      <c r="D16" s="67">
        <f t="shared" ref="D16" si="3">SUM(D17,D22,D27,D29:D31)</f>
        <v>140751.46000000002</v>
      </c>
      <c r="E16" s="67">
        <f>SUM(E17,E22,E27,E29:E31)</f>
        <v>205112</v>
      </c>
      <c r="F16" s="16">
        <f t="shared" si="1"/>
        <v>19.405108798486282</v>
      </c>
    </row>
    <row r="17" spans="1:6" x14ac:dyDescent="0.15">
      <c r="A17" s="110" t="s">
        <v>27</v>
      </c>
      <c r="B17" s="65" t="s">
        <v>28</v>
      </c>
      <c r="C17" s="70">
        <f t="shared" ref="C17" si="4">SUM(C18:C21)</f>
        <v>253000</v>
      </c>
      <c r="D17" s="70">
        <v>21097.48</v>
      </c>
      <c r="E17" s="70">
        <v>65310.31</v>
      </c>
      <c r="F17" s="8">
        <f t="shared" si="1"/>
        <v>25.814351778656125</v>
      </c>
    </row>
    <row r="18" spans="1:6" x14ac:dyDescent="0.15">
      <c r="A18" s="109" t="s">
        <v>29</v>
      </c>
      <c r="B18" s="78" t="s">
        <v>30</v>
      </c>
      <c r="C18" s="68">
        <v>200000</v>
      </c>
      <c r="D18" s="69">
        <v>0</v>
      </c>
      <c r="E18" s="68">
        <v>0</v>
      </c>
      <c r="F18" s="8">
        <f t="shared" si="1"/>
        <v>0</v>
      </c>
    </row>
    <row r="19" spans="1:6" x14ac:dyDescent="0.15">
      <c r="A19" s="109" t="s">
        <v>31</v>
      </c>
      <c r="B19" s="78" t="s">
        <v>32</v>
      </c>
      <c r="C19" s="68">
        <v>50000</v>
      </c>
      <c r="D19" s="69">
        <v>0</v>
      </c>
      <c r="E19" s="68">
        <v>0</v>
      </c>
      <c r="F19" s="8">
        <f>E19/C19*100</f>
        <v>0</v>
      </c>
    </row>
    <row r="20" spans="1:6" x14ac:dyDescent="0.15">
      <c r="A20" s="109" t="s">
        <v>33</v>
      </c>
      <c r="B20" s="78" t="s">
        <v>34</v>
      </c>
      <c r="C20" s="68">
        <v>3000</v>
      </c>
      <c r="D20" s="69">
        <v>0</v>
      </c>
      <c r="E20" s="68">
        <v>0</v>
      </c>
      <c r="F20" s="8">
        <f t="shared" si="1"/>
        <v>0</v>
      </c>
    </row>
    <row r="21" spans="1:6" x14ac:dyDescent="0.15">
      <c r="A21" s="109" t="s">
        <v>35</v>
      </c>
      <c r="B21" s="78" t="s">
        <v>36</v>
      </c>
      <c r="C21" s="68">
        <v>0</v>
      </c>
      <c r="D21" s="69">
        <v>0</v>
      </c>
      <c r="E21" s="68">
        <v>0</v>
      </c>
      <c r="F21" s="8">
        <v>0</v>
      </c>
    </row>
    <row r="22" spans="1:6" x14ac:dyDescent="0.15">
      <c r="A22" s="110" t="s">
        <v>37</v>
      </c>
      <c r="B22" s="65" t="s">
        <v>38</v>
      </c>
      <c r="C22" s="70">
        <f>SUM(C23:C25)</f>
        <v>452000</v>
      </c>
      <c r="D22" s="70">
        <v>45557.52</v>
      </c>
      <c r="E22" s="70">
        <v>45557.52</v>
      </c>
      <c r="F22" s="8">
        <f t="shared" si="1"/>
        <v>10.079097345132743</v>
      </c>
    </row>
    <row r="23" spans="1:6" x14ac:dyDescent="0.15">
      <c r="A23" s="109" t="s">
        <v>39</v>
      </c>
      <c r="B23" s="78" t="s">
        <v>40</v>
      </c>
      <c r="C23" s="68">
        <v>450000</v>
      </c>
      <c r="D23" s="68">
        <v>0</v>
      </c>
      <c r="E23" s="68">
        <v>0</v>
      </c>
      <c r="F23" s="8">
        <f t="shared" si="1"/>
        <v>0</v>
      </c>
    </row>
    <row r="24" spans="1:6" x14ac:dyDescent="0.15">
      <c r="A24" s="109" t="s">
        <v>41</v>
      </c>
      <c r="B24" s="78" t="s">
        <v>42</v>
      </c>
      <c r="C24" s="68">
        <v>1000</v>
      </c>
      <c r="D24" s="69">
        <v>0</v>
      </c>
      <c r="E24" s="69">
        <v>0</v>
      </c>
      <c r="F24" s="8">
        <f t="shared" si="1"/>
        <v>0</v>
      </c>
    </row>
    <row r="25" spans="1:6" x14ac:dyDescent="0.15">
      <c r="A25" s="109" t="s">
        <v>43</v>
      </c>
      <c r="B25" s="78" t="s">
        <v>44</v>
      </c>
      <c r="C25" s="68">
        <v>1000</v>
      </c>
      <c r="D25" s="69">
        <v>0</v>
      </c>
      <c r="E25" s="69">
        <v>0</v>
      </c>
      <c r="F25" s="8">
        <f t="shared" si="1"/>
        <v>0</v>
      </c>
    </row>
    <row r="26" spans="1:6" x14ac:dyDescent="0.15">
      <c r="A26" s="109">
        <v>71425</v>
      </c>
      <c r="B26" s="65" t="s">
        <v>99</v>
      </c>
      <c r="C26" s="68">
        <v>0</v>
      </c>
      <c r="D26" s="69">
        <v>0</v>
      </c>
      <c r="E26" s="69">
        <v>0</v>
      </c>
      <c r="F26" s="8">
        <v>0</v>
      </c>
    </row>
    <row r="27" spans="1:6" ht="18.75" customHeight="1" x14ac:dyDescent="0.15">
      <c r="A27" s="110" t="s">
        <v>45</v>
      </c>
      <c r="B27" s="65" t="s">
        <v>46</v>
      </c>
      <c r="C27" s="70">
        <v>150000</v>
      </c>
      <c r="D27" s="83">
        <v>10968.3</v>
      </c>
      <c r="E27" s="83">
        <v>13046.97</v>
      </c>
      <c r="F27" s="8">
        <f t="shared" si="1"/>
        <v>8.6979799999999994</v>
      </c>
    </row>
    <row r="28" spans="1:6" x14ac:dyDescent="0.15">
      <c r="A28" s="110" t="s">
        <v>100</v>
      </c>
      <c r="B28" s="65" t="s">
        <v>101</v>
      </c>
      <c r="C28" s="70">
        <v>0</v>
      </c>
      <c r="D28" s="69">
        <v>0</v>
      </c>
      <c r="E28" s="69"/>
      <c r="F28" s="8">
        <v>0</v>
      </c>
    </row>
    <row r="29" spans="1:6" x14ac:dyDescent="0.15">
      <c r="A29" s="110" t="s">
        <v>47</v>
      </c>
      <c r="B29" s="65" t="s">
        <v>48</v>
      </c>
      <c r="C29" s="70">
        <v>0</v>
      </c>
      <c r="D29" s="69">
        <v>0</v>
      </c>
      <c r="E29" s="69">
        <v>0</v>
      </c>
      <c r="F29" s="8">
        <v>0</v>
      </c>
    </row>
    <row r="30" spans="1:6" x14ac:dyDescent="0.15">
      <c r="A30" s="110" t="s">
        <v>49</v>
      </c>
      <c r="B30" s="65" t="s">
        <v>50</v>
      </c>
      <c r="C30" s="68">
        <v>200000</v>
      </c>
      <c r="D30" s="69">
        <v>63128.160000000003</v>
      </c>
      <c r="E30" s="68">
        <v>81197.2</v>
      </c>
      <c r="F30" s="8">
        <f t="shared" si="1"/>
        <v>40.598599999999998</v>
      </c>
    </row>
    <row r="31" spans="1:6" x14ac:dyDescent="0.15">
      <c r="A31" s="110" t="s">
        <v>51</v>
      </c>
      <c r="B31" s="65" t="s">
        <v>52</v>
      </c>
      <c r="C31" s="68">
        <v>2000</v>
      </c>
      <c r="D31" s="69">
        <v>0</v>
      </c>
      <c r="E31" s="69">
        <v>0</v>
      </c>
      <c r="F31" s="8">
        <f t="shared" si="1"/>
        <v>0</v>
      </c>
    </row>
    <row r="32" spans="1:6" x14ac:dyDescent="0.15">
      <c r="A32" s="108" t="s">
        <v>53</v>
      </c>
      <c r="B32" s="3" t="s">
        <v>54</v>
      </c>
      <c r="C32" s="67">
        <f>SUM(C33:C36)</f>
        <v>469000</v>
      </c>
      <c r="D32" s="67">
        <f t="shared" ref="D32:E32" si="5">SUM(D33:D36)</f>
        <v>18312.8</v>
      </c>
      <c r="E32" s="67">
        <f t="shared" si="5"/>
        <v>51139.3</v>
      </c>
      <c r="F32" s="16">
        <f>E32/C32*100</f>
        <v>10.903901918976548</v>
      </c>
    </row>
    <row r="33" spans="1:6" ht="21" x14ac:dyDescent="0.15">
      <c r="A33" s="109" t="s">
        <v>55</v>
      </c>
      <c r="B33" s="78" t="s">
        <v>56</v>
      </c>
      <c r="C33" s="68">
        <v>120000</v>
      </c>
      <c r="D33" s="68">
        <v>14251.02</v>
      </c>
      <c r="E33" s="68">
        <v>42896.36</v>
      </c>
      <c r="F33" s="8">
        <f t="shared" si="1"/>
        <v>35.746966666666665</v>
      </c>
    </row>
    <row r="34" spans="1:6" x14ac:dyDescent="0.15">
      <c r="A34" s="109" t="s">
        <v>57</v>
      </c>
      <c r="B34" s="78" t="s">
        <v>58</v>
      </c>
      <c r="C34" s="68">
        <v>4000</v>
      </c>
      <c r="D34" s="68">
        <v>486.38</v>
      </c>
      <c r="E34" s="68">
        <v>799.62</v>
      </c>
      <c r="F34" s="8">
        <f t="shared" si="1"/>
        <v>19.990500000000001</v>
      </c>
    </row>
    <row r="35" spans="1:6" ht="21" x14ac:dyDescent="0.15">
      <c r="A35" s="109" t="s">
        <v>59</v>
      </c>
      <c r="B35" s="78" t="s">
        <v>60</v>
      </c>
      <c r="C35" s="68">
        <v>25000</v>
      </c>
      <c r="D35" s="89">
        <v>2787.4</v>
      </c>
      <c r="E35" s="89">
        <v>6009.32</v>
      </c>
      <c r="F35" s="8">
        <f t="shared" si="1"/>
        <v>24.037279999999999</v>
      </c>
    </row>
    <row r="36" spans="1:6" x14ac:dyDescent="0.15">
      <c r="A36" s="109" t="s">
        <v>61</v>
      </c>
      <c r="B36" s="78" t="s">
        <v>54</v>
      </c>
      <c r="C36" s="68">
        <v>320000</v>
      </c>
      <c r="D36" s="68">
        <v>788</v>
      </c>
      <c r="E36" s="68">
        <v>1434</v>
      </c>
      <c r="F36" s="8">
        <f t="shared" si="1"/>
        <v>0.448125</v>
      </c>
    </row>
    <row r="37" spans="1:6" ht="12" customHeight="1" x14ac:dyDescent="0.15">
      <c r="A37" s="108" t="s">
        <v>62</v>
      </c>
      <c r="B37" s="3" t="s">
        <v>63</v>
      </c>
      <c r="C37" s="67">
        <f>SUM(C40+C38)</f>
        <v>50000</v>
      </c>
      <c r="D37" s="67">
        <f t="shared" ref="D37:E37" si="6">SUM(D40+D38)</f>
        <v>1080</v>
      </c>
      <c r="E37" s="67">
        <f t="shared" si="6"/>
        <v>1480</v>
      </c>
      <c r="F37" s="16">
        <f t="shared" si="1"/>
        <v>2.96</v>
      </c>
    </row>
    <row r="38" spans="1:6" x14ac:dyDescent="0.15">
      <c r="A38" s="109" t="s">
        <v>64</v>
      </c>
      <c r="B38" s="78" t="s">
        <v>65</v>
      </c>
      <c r="C38" s="66">
        <f>SUM(C39)</f>
        <v>50000</v>
      </c>
      <c r="D38" s="66">
        <f>SUM(D39)</f>
        <v>1080</v>
      </c>
      <c r="E38" s="66">
        <f>SUM(E39)</f>
        <v>1480</v>
      </c>
      <c r="F38" s="8">
        <f t="shared" si="1"/>
        <v>2.96</v>
      </c>
    </row>
    <row r="39" spans="1:6" x14ac:dyDescent="0.15">
      <c r="A39" s="109" t="s">
        <v>66</v>
      </c>
      <c r="B39" s="78" t="s">
        <v>67</v>
      </c>
      <c r="C39" s="70">
        <v>50000</v>
      </c>
      <c r="D39" s="69">
        <v>1080</v>
      </c>
      <c r="E39" s="69">
        <v>1480</v>
      </c>
      <c r="F39" s="8">
        <f t="shared" si="1"/>
        <v>2.96</v>
      </c>
    </row>
    <row r="40" spans="1:6" x14ac:dyDescent="0.15">
      <c r="A40" s="109" t="s">
        <v>68</v>
      </c>
      <c r="B40" s="78" t="s">
        <v>69</v>
      </c>
      <c r="C40" s="70">
        <v>0</v>
      </c>
      <c r="D40" s="66">
        <v>0</v>
      </c>
      <c r="E40" s="70">
        <v>0</v>
      </c>
      <c r="F40" s="8">
        <v>0</v>
      </c>
    </row>
    <row r="41" spans="1:6" ht="21" x14ac:dyDescent="0.15">
      <c r="A41" s="108" t="s">
        <v>70</v>
      </c>
      <c r="B41" s="3" t="s">
        <v>71</v>
      </c>
      <c r="C41" s="67">
        <f>SUM(C42:C43)</f>
        <v>3241000</v>
      </c>
      <c r="D41" s="67">
        <f t="shared" ref="D41:E41" si="7">SUM(D42:D43)</f>
        <v>0</v>
      </c>
      <c r="E41" s="67">
        <f t="shared" si="7"/>
        <v>3493961.45</v>
      </c>
      <c r="F41" s="16">
        <f t="shared" si="1"/>
        <v>107.80504319654429</v>
      </c>
    </row>
    <row r="42" spans="1:6" x14ac:dyDescent="0.15">
      <c r="A42" s="109" t="s">
        <v>72</v>
      </c>
      <c r="B42" s="78" t="s">
        <v>73</v>
      </c>
      <c r="C42" s="70">
        <v>11000</v>
      </c>
      <c r="D42" s="70">
        <v>0</v>
      </c>
      <c r="E42" s="70">
        <v>0</v>
      </c>
      <c r="F42" s="8">
        <f t="shared" si="1"/>
        <v>0</v>
      </c>
    </row>
    <row r="43" spans="1:6" x14ac:dyDescent="0.15">
      <c r="A43" s="109" t="s">
        <v>74</v>
      </c>
      <c r="B43" s="78" t="s">
        <v>75</v>
      </c>
      <c r="C43" s="70">
        <v>3230000</v>
      </c>
      <c r="D43" s="111">
        <v>0</v>
      </c>
      <c r="E43" s="111">
        <v>3493961.45</v>
      </c>
      <c r="F43" s="8">
        <f t="shared" si="1"/>
        <v>108.17218111455109</v>
      </c>
    </row>
    <row r="44" spans="1:6" x14ac:dyDescent="0.15">
      <c r="A44" s="108" t="s">
        <v>76</v>
      </c>
      <c r="B44" s="3" t="s">
        <v>77</v>
      </c>
      <c r="C44" s="67">
        <f>SUM(C45,C48)</f>
        <v>7570000</v>
      </c>
      <c r="D44" s="67">
        <f t="shared" ref="D44:E44" si="8">SUM(D45,D48)</f>
        <v>539106.40999999992</v>
      </c>
      <c r="E44" s="67">
        <f t="shared" si="8"/>
        <v>1924060.66</v>
      </c>
      <c r="F44" s="16">
        <f t="shared" si="1"/>
        <v>25.416917569352709</v>
      </c>
    </row>
    <row r="45" spans="1:6" x14ac:dyDescent="0.15">
      <c r="A45" s="112" t="s">
        <v>78</v>
      </c>
      <c r="B45" s="3" t="s">
        <v>79</v>
      </c>
      <c r="C45" s="67">
        <f>SUM(C46:C47)</f>
        <v>410000</v>
      </c>
      <c r="D45" s="61">
        <f>+D46+D47</f>
        <v>0</v>
      </c>
      <c r="E45" s="61">
        <f>+E46+E47</f>
        <v>79278</v>
      </c>
      <c r="F45" s="8">
        <f t="shared" si="1"/>
        <v>19.33609756097561</v>
      </c>
    </row>
    <row r="46" spans="1:6" x14ac:dyDescent="0.15">
      <c r="A46" s="109" t="s">
        <v>80</v>
      </c>
      <c r="B46" s="78" t="s">
        <v>81</v>
      </c>
      <c r="C46" s="70">
        <v>160000</v>
      </c>
      <c r="D46" s="68">
        <v>0</v>
      </c>
      <c r="E46" s="68">
        <v>0</v>
      </c>
      <c r="F46" s="8">
        <f t="shared" si="1"/>
        <v>0</v>
      </c>
    </row>
    <row r="47" spans="1:6" x14ac:dyDescent="0.15">
      <c r="A47" s="109" t="s">
        <v>82</v>
      </c>
      <c r="B47" s="78" t="s">
        <v>83</v>
      </c>
      <c r="C47" s="70">
        <v>250000</v>
      </c>
      <c r="D47" s="68">
        <v>0</v>
      </c>
      <c r="E47" s="68">
        <v>79278</v>
      </c>
      <c r="F47" s="8">
        <f t="shared" si="1"/>
        <v>31.711200000000002</v>
      </c>
    </row>
    <row r="48" spans="1:6" x14ac:dyDescent="0.15">
      <c r="A48" s="112" t="s">
        <v>84</v>
      </c>
      <c r="B48" s="3" t="s">
        <v>85</v>
      </c>
      <c r="C48" s="67">
        <f>SUM(C49:C51)</f>
        <v>7160000</v>
      </c>
      <c r="D48" s="67">
        <f>SUM(D49:D51)</f>
        <v>539106.40999999992</v>
      </c>
      <c r="E48" s="67">
        <f>SUM(E49:E51)</f>
        <v>1844782.66</v>
      </c>
      <c r="F48" s="16">
        <f t="shared" si="1"/>
        <v>25.765120949720671</v>
      </c>
    </row>
    <row r="49" spans="1:6" x14ac:dyDescent="0.15">
      <c r="A49" s="109" t="s">
        <v>86</v>
      </c>
      <c r="B49" s="78" t="s">
        <v>87</v>
      </c>
      <c r="C49" s="70">
        <v>60000</v>
      </c>
      <c r="D49" s="68">
        <v>0</v>
      </c>
      <c r="E49" s="68">
        <v>0</v>
      </c>
      <c r="F49" s="8">
        <f t="shared" si="1"/>
        <v>0</v>
      </c>
    </row>
    <row r="50" spans="1:6" x14ac:dyDescent="0.15">
      <c r="A50" s="109" t="s">
        <v>88</v>
      </c>
      <c r="B50" s="78" t="s">
        <v>89</v>
      </c>
      <c r="C50" s="70">
        <v>5000000</v>
      </c>
      <c r="D50" s="68">
        <v>400599.79</v>
      </c>
      <c r="E50" s="68">
        <v>1486714.74</v>
      </c>
      <c r="F50" s="8">
        <f t="shared" si="1"/>
        <v>29.734294800000001</v>
      </c>
    </row>
    <row r="51" spans="1:6" x14ac:dyDescent="0.15">
      <c r="A51" s="109" t="s">
        <v>370</v>
      </c>
      <c r="B51" s="78" t="s">
        <v>371</v>
      </c>
      <c r="C51" s="70">
        <v>2100000</v>
      </c>
      <c r="D51" s="68">
        <v>138506.62</v>
      </c>
      <c r="E51" s="68">
        <v>358067.92</v>
      </c>
      <c r="F51" s="8">
        <f t="shared" si="1"/>
        <v>17.050853333333333</v>
      </c>
    </row>
    <row r="52" spans="1:6" x14ac:dyDescent="0.15">
      <c r="A52" s="108" t="s">
        <v>90</v>
      </c>
      <c r="B52" s="3" t="s">
        <v>91</v>
      </c>
      <c r="C52" s="67">
        <f>SUM(C53)</f>
        <v>100000</v>
      </c>
      <c r="D52" s="67">
        <f t="shared" ref="D52:E52" si="9">SUM(D53)</f>
        <v>0</v>
      </c>
      <c r="E52" s="67">
        <f t="shared" si="9"/>
        <v>0</v>
      </c>
      <c r="F52" s="16">
        <f t="shared" si="1"/>
        <v>0</v>
      </c>
    </row>
    <row r="53" spans="1:6" x14ac:dyDescent="0.15">
      <c r="A53" s="109" t="s">
        <v>92</v>
      </c>
      <c r="B53" s="78" t="s">
        <v>91</v>
      </c>
      <c r="C53" s="70">
        <v>100000</v>
      </c>
      <c r="D53" s="66">
        <v>0</v>
      </c>
      <c r="E53" s="70">
        <v>0</v>
      </c>
      <c r="F53" s="8">
        <f t="shared" si="1"/>
        <v>0</v>
      </c>
    </row>
    <row r="54" spans="1:6" x14ac:dyDescent="0.15">
      <c r="A54" s="109" t="s">
        <v>93</v>
      </c>
      <c r="B54" s="78" t="s">
        <v>94</v>
      </c>
      <c r="C54" s="70">
        <f>SUM(C55:C56)</f>
        <v>100000</v>
      </c>
      <c r="D54" s="70">
        <f>SUM(D55:D56)</f>
        <v>0</v>
      </c>
      <c r="E54" s="70">
        <f>SUM(E55:E56)</f>
        <v>0</v>
      </c>
      <c r="F54" s="8">
        <f t="shared" si="1"/>
        <v>0</v>
      </c>
    </row>
    <row r="55" spans="1:6" x14ac:dyDescent="0.15">
      <c r="A55" s="110" t="s">
        <v>102</v>
      </c>
      <c r="B55" s="65" t="s">
        <v>104</v>
      </c>
      <c r="C55" s="70">
        <v>100000</v>
      </c>
      <c r="D55" s="66">
        <v>0</v>
      </c>
      <c r="E55" s="70">
        <v>0</v>
      </c>
      <c r="F55" s="8">
        <v>0</v>
      </c>
    </row>
    <row r="56" spans="1:6" x14ac:dyDescent="0.15">
      <c r="A56" s="110" t="s">
        <v>103</v>
      </c>
      <c r="B56" s="65" t="s">
        <v>105</v>
      </c>
      <c r="C56" s="70">
        <v>0</v>
      </c>
      <c r="D56" s="66">
        <v>0</v>
      </c>
      <c r="E56" s="70">
        <v>0</v>
      </c>
      <c r="F56" s="8">
        <v>0</v>
      </c>
    </row>
    <row r="57" spans="1:6" x14ac:dyDescent="0.15">
      <c r="A57" s="109" t="s">
        <v>95</v>
      </c>
      <c r="B57" s="78" t="s">
        <v>96</v>
      </c>
      <c r="C57" s="70">
        <v>0</v>
      </c>
      <c r="D57" s="66">
        <v>0</v>
      </c>
      <c r="E57" s="70">
        <v>0</v>
      </c>
      <c r="F57" s="8">
        <v>0</v>
      </c>
    </row>
    <row r="58" spans="1:6" ht="15.75" customHeight="1" thickBot="1" x14ac:dyDescent="0.2">
      <c r="A58" s="113" t="s">
        <v>97</v>
      </c>
      <c r="B58" s="4" t="s">
        <v>98</v>
      </c>
      <c r="C58" s="114">
        <f>SUM(C6,C37,C41,C44,C52)</f>
        <v>19630000</v>
      </c>
      <c r="D58" s="114">
        <f>SUM(D6,D37,D41,D44,D52)</f>
        <v>1269105.53</v>
      </c>
      <c r="E58" s="114">
        <f>SUM(E6,E37,E41,E44,E52)</f>
        <v>7093842.21</v>
      </c>
      <c r="F58" s="5">
        <f>E58/C58*100</f>
        <v>36.137759602649005</v>
      </c>
    </row>
    <row r="60" spans="1:6" x14ac:dyDescent="0.15">
      <c r="A60" s="1"/>
      <c r="D60" s="18"/>
      <c r="E60" s="18"/>
      <c r="F60" s="1"/>
    </row>
    <row r="61" spans="1:6" x14ac:dyDescent="0.15">
      <c r="A61" s="1"/>
      <c r="E61" s="18"/>
      <c r="F61" s="1"/>
    </row>
    <row r="62" spans="1:6" x14ac:dyDescent="0.15">
      <c r="A62" s="1"/>
      <c r="D62" s="18"/>
      <c r="E62" s="18"/>
      <c r="F62" s="1"/>
    </row>
    <row r="63" spans="1:6" x14ac:dyDescent="0.15">
      <c r="A63" s="1"/>
      <c r="E63" s="18"/>
      <c r="F63" s="1"/>
    </row>
    <row r="64" spans="1:6" x14ac:dyDescent="0.15">
      <c r="A64" s="1"/>
      <c r="E64" s="18"/>
      <c r="F64" s="1"/>
    </row>
    <row r="65" spans="1:6" x14ac:dyDescent="0.15">
      <c r="A65" s="1"/>
      <c r="E65" s="18"/>
      <c r="F65" s="1"/>
    </row>
    <row r="66" spans="1:6" s="1" customFormat="1" x14ac:dyDescent="0.15"/>
    <row r="67" spans="1:6" s="1" customFormat="1" x14ac:dyDescent="0.15"/>
    <row r="68" spans="1:6" s="1" customFormat="1" x14ac:dyDescent="0.15"/>
    <row r="69" spans="1:6" s="1" customFormat="1" x14ac:dyDescent="0.15"/>
    <row r="70" spans="1:6" s="1" customFormat="1" x14ac:dyDescent="0.15"/>
    <row r="71" spans="1:6" s="1" customFormat="1" x14ac:dyDescent="0.15"/>
    <row r="72" spans="1:6" s="1" customFormat="1" x14ac:dyDescent="0.15"/>
    <row r="73" spans="1:6" s="1" customFormat="1" x14ac:dyDescent="0.15"/>
    <row r="74" spans="1:6" s="1" customFormat="1" x14ac:dyDescent="0.15"/>
    <row r="75" spans="1:6" s="1" customFormat="1" x14ac:dyDescent="0.15"/>
    <row r="76" spans="1:6" s="1" customFormat="1" x14ac:dyDescent="0.15"/>
    <row r="77" spans="1:6" s="1" customFormat="1" x14ac:dyDescent="0.15"/>
    <row r="78" spans="1:6" s="1" customFormat="1" x14ac:dyDescent="0.15"/>
    <row r="79" spans="1:6" s="1" customFormat="1" x14ac:dyDescent="0.15"/>
    <row r="80" spans="1:6" s="1" customFormat="1" x14ac:dyDescent="0.15"/>
    <row r="81" spans="1:6" s="1" customFormat="1" x14ac:dyDescent="0.15"/>
    <row r="82" spans="1:6" s="1" customFormat="1" x14ac:dyDescent="0.15"/>
    <row r="83" spans="1:6" s="1" customFormat="1" x14ac:dyDescent="0.15"/>
    <row r="84" spans="1:6" s="1" customFormat="1" x14ac:dyDescent="0.15"/>
    <row r="85" spans="1:6" s="1" customFormat="1" x14ac:dyDescent="0.15"/>
    <row r="86" spans="1:6" s="1" customFormat="1" x14ac:dyDescent="0.15"/>
    <row r="87" spans="1:6" s="1" customFormat="1" x14ac:dyDescent="0.15"/>
    <row r="88" spans="1:6" s="1" customFormat="1" x14ac:dyDescent="0.15"/>
    <row r="89" spans="1:6" x14ac:dyDescent="0.15">
      <c r="A89" s="1"/>
      <c r="B89" s="18"/>
      <c r="F89" s="1"/>
    </row>
    <row r="90" spans="1:6" s="1" customFormat="1" x14ac:dyDescent="0.15"/>
    <row r="91" spans="1:6" x14ac:dyDescent="0.15">
      <c r="A91" s="1"/>
      <c r="B91" s="18"/>
      <c r="F91" s="1"/>
    </row>
    <row r="92" spans="1:6" s="1" customFormat="1" x14ac:dyDescent="0.15"/>
    <row r="93" spans="1:6" x14ac:dyDescent="0.15">
      <c r="A93" s="1"/>
      <c r="B93" s="18"/>
      <c r="F93" s="1"/>
    </row>
    <row r="94" spans="1:6" s="1" customFormat="1" x14ac:dyDescent="0.15"/>
    <row r="95" spans="1:6" s="1" customFormat="1" x14ac:dyDescent="0.15"/>
    <row r="96" spans="1:6" x14ac:dyDescent="0.15">
      <c r="A96" s="1"/>
      <c r="B96" s="18"/>
      <c r="F96" s="1"/>
    </row>
    <row r="97" spans="1:6" x14ac:dyDescent="0.15">
      <c r="A97" s="1"/>
      <c r="B97" s="18"/>
      <c r="F97" s="1"/>
    </row>
    <row r="98" spans="1:6" s="1" customFormat="1" x14ac:dyDescent="0.15"/>
    <row r="99" spans="1:6" s="1" customFormat="1" x14ac:dyDescent="0.15"/>
    <row r="100" spans="1:6" s="1" customFormat="1" x14ac:dyDescent="0.15"/>
    <row r="101" spans="1:6" x14ac:dyDescent="0.15">
      <c r="A101" s="1"/>
      <c r="B101" s="18"/>
      <c r="F101" s="1"/>
    </row>
    <row r="102" spans="1:6" x14ac:dyDescent="0.15">
      <c r="A102" s="1"/>
      <c r="B102" s="18"/>
      <c r="F102" s="1"/>
    </row>
    <row r="103" spans="1:6" s="1" customFormat="1" x14ac:dyDescent="0.15"/>
    <row r="104" spans="1:6" s="1" customFormat="1" x14ac:dyDescent="0.15"/>
    <row r="105" spans="1:6" s="1" customFormat="1" x14ac:dyDescent="0.15"/>
    <row r="106" spans="1:6" s="1" customFormat="1" x14ac:dyDescent="0.15"/>
    <row r="107" spans="1:6" s="1" customFormat="1" x14ac:dyDescent="0.15"/>
    <row r="108" spans="1:6" s="1" customFormat="1" x14ac:dyDescent="0.15"/>
    <row r="109" spans="1:6" s="1" customFormat="1" x14ac:dyDescent="0.15"/>
    <row r="110" spans="1:6" s="1" customFormat="1" x14ac:dyDescent="0.15"/>
    <row r="111" spans="1:6" s="1" customFormat="1" x14ac:dyDescent="0.15"/>
    <row r="112" spans="1:6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56"/>
  <sheetViews>
    <sheetView topLeftCell="A4" zoomScale="90" zoomScaleNormal="90" workbookViewId="0">
      <selection activeCell="E9" sqref="E9"/>
    </sheetView>
  </sheetViews>
  <sheetFormatPr defaultColWidth="9.140625" defaultRowHeight="10.5" x14ac:dyDescent="0.15"/>
  <cols>
    <col min="1" max="1" width="9" style="1" customWidth="1"/>
    <col min="2" max="2" width="34.85546875" style="1" customWidth="1"/>
    <col min="3" max="3" width="13.7109375" style="1" customWidth="1"/>
    <col min="4" max="4" width="12.7109375" style="1" customWidth="1"/>
    <col min="5" max="5" width="14" style="1" customWidth="1"/>
    <col min="6" max="6" width="9.5703125" style="1" customWidth="1"/>
    <col min="7" max="7" width="9.140625" style="1"/>
    <col min="8" max="8" width="15.7109375" style="1" customWidth="1"/>
    <col min="9" max="11" width="9.140625" style="1"/>
    <col min="12" max="13" width="11.42578125" style="1" customWidth="1"/>
    <col min="14" max="16" width="9.140625" style="1"/>
    <col min="17" max="17" width="10.85546875" style="1" customWidth="1"/>
    <col min="18" max="38" width="9.140625" style="1"/>
    <col min="39" max="39" width="15.28515625" style="1" customWidth="1"/>
    <col min="40" max="16384" width="9.140625" style="1"/>
  </cols>
  <sheetData>
    <row r="1" spans="1:11" ht="11.25" thickBot="1" x14ac:dyDescent="0.2"/>
    <row r="2" spans="1:11" ht="18.75" customHeight="1" thickBot="1" x14ac:dyDescent="0.2">
      <c r="E2" s="150" t="s">
        <v>305</v>
      </c>
      <c r="F2" s="150" t="s">
        <v>305</v>
      </c>
    </row>
    <row r="3" spans="1:11" ht="11.25" thickBot="1" x14ac:dyDescent="0.2"/>
    <row r="4" spans="1:11" ht="26.45" customHeight="1" x14ac:dyDescent="0.15">
      <c r="A4" s="154" t="s">
        <v>1</v>
      </c>
      <c r="B4" s="155" t="s">
        <v>1</v>
      </c>
      <c r="C4" s="155" t="s">
        <v>1</v>
      </c>
      <c r="D4" s="155" t="s">
        <v>1</v>
      </c>
      <c r="E4" s="155" t="s">
        <v>1</v>
      </c>
      <c r="F4" s="156" t="s">
        <v>1</v>
      </c>
    </row>
    <row r="5" spans="1:11" ht="56.25" customHeight="1" x14ac:dyDescent="0.15">
      <c r="A5" s="14" t="s">
        <v>304</v>
      </c>
      <c r="B5" s="2" t="s">
        <v>303</v>
      </c>
      <c r="C5" s="118" t="s">
        <v>3</v>
      </c>
      <c r="D5" s="118" t="s">
        <v>380</v>
      </c>
      <c r="E5" s="118" t="s">
        <v>381</v>
      </c>
      <c r="F5" s="6" t="s">
        <v>302</v>
      </c>
    </row>
    <row r="6" spans="1:11" s="12" customFormat="1" x14ac:dyDescent="0.15">
      <c r="A6" s="14" t="s">
        <v>301</v>
      </c>
      <c r="B6" s="3" t="s">
        <v>299</v>
      </c>
      <c r="C6" s="61">
        <f t="shared" ref="C6" si="0">SUM(C7,C59:C60)</f>
        <v>13486897</v>
      </c>
      <c r="D6" s="61">
        <f>SUM(D7,D59:D60)</f>
        <v>1192317.2000000002</v>
      </c>
      <c r="E6" s="61">
        <f>SUM(E7,E59:E60)</f>
        <v>2610121.2699999996</v>
      </c>
      <c r="F6" s="16">
        <f>E6/C6*100</f>
        <v>19.353015523140716</v>
      </c>
    </row>
    <row r="7" spans="1:11" s="12" customFormat="1" x14ac:dyDescent="0.15">
      <c r="A7" s="14" t="s">
        <v>300</v>
      </c>
      <c r="B7" s="3" t="s">
        <v>299</v>
      </c>
      <c r="C7" s="61">
        <f t="shared" ref="C7:D7" si="1">SUM(C8,C14,C22,C29,C39,C43,C46,C50,C51)</f>
        <v>5812097</v>
      </c>
      <c r="D7" s="61">
        <f t="shared" si="1"/>
        <v>466216.14</v>
      </c>
      <c r="E7" s="61">
        <f>SUM(E8,E14,E22,E29,E39,E43,E46,E50,E51)</f>
        <v>888066.6399999999</v>
      </c>
      <c r="F7" s="16">
        <f t="shared" ref="F7:F20" si="2">E7/C7*100</f>
        <v>15.279625236812116</v>
      </c>
    </row>
    <row r="8" spans="1:11" ht="27.75" customHeight="1" x14ac:dyDescent="0.15">
      <c r="A8" s="14" t="s">
        <v>298</v>
      </c>
      <c r="B8" s="3" t="s">
        <v>127</v>
      </c>
      <c r="C8" s="61">
        <f>SUM(C9:C13)</f>
        <v>3464947</v>
      </c>
      <c r="D8" s="61">
        <f t="shared" ref="D8:E8" si="3">SUM(D9:D13)</f>
        <v>347246.09</v>
      </c>
      <c r="E8" s="61">
        <f t="shared" si="3"/>
        <v>606231.05999999994</v>
      </c>
      <c r="F8" s="16">
        <f t="shared" si="2"/>
        <v>17.496113504766448</v>
      </c>
      <c r="H8" s="119"/>
      <c r="I8" s="119"/>
      <c r="J8" s="119"/>
      <c r="K8" s="119"/>
    </row>
    <row r="9" spans="1:11" x14ac:dyDescent="0.15">
      <c r="A9" s="79" t="s">
        <v>297</v>
      </c>
      <c r="B9" s="78" t="s">
        <v>296</v>
      </c>
      <c r="C9" s="68">
        <v>3174612</v>
      </c>
      <c r="D9" s="68">
        <f>254043.48-1203.26</f>
        <v>252840.22</v>
      </c>
      <c r="E9" s="68">
        <f>512065.3-1203.26</f>
        <v>510862.04</v>
      </c>
      <c r="F9" s="8">
        <f t="shared" si="2"/>
        <v>16.092109523935523</v>
      </c>
      <c r="H9" s="119"/>
      <c r="I9" s="119"/>
      <c r="J9" s="119"/>
      <c r="K9" s="119"/>
    </row>
    <row r="10" spans="1:11" x14ac:dyDescent="0.15">
      <c r="A10" s="79" t="s">
        <v>295</v>
      </c>
      <c r="B10" s="78" t="s">
        <v>294</v>
      </c>
      <c r="C10" s="68">
        <v>71870</v>
      </c>
      <c r="D10" s="68">
        <v>23598.639999999999</v>
      </c>
      <c r="E10" s="68">
        <v>23765.18</v>
      </c>
      <c r="F10" s="8">
        <f t="shared" si="2"/>
        <v>33.066898566856821</v>
      </c>
    </row>
    <row r="11" spans="1:11" x14ac:dyDescent="0.15">
      <c r="A11" s="79" t="s">
        <v>293</v>
      </c>
      <c r="B11" s="78" t="s">
        <v>292</v>
      </c>
      <c r="C11" s="68">
        <v>194560</v>
      </c>
      <c r="D11" s="68">
        <v>64363.46</v>
      </c>
      <c r="E11" s="68">
        <v>64738.77</v>
      </c>
      <c r="F11" s="8">
        <f t="shared" si="2"/>
        <v>33.274450041118421</v>
      </c>
    </row>
    <row r="12" spans="1:11" x14ac:dyDescent="0.15">
      <c r="A12" s="79" t="s">
        <v>291</v>
      </c>
      <c r="B12" s="78" t="s">
        <v>290</v>
      </c>
      <c r="C12" s="68">
        <v>21002</v>
      </c>
      <c r="D12" s="68">
        <v>6443.77</v>
      </c>
      <c r="E12" s="68">
        <v>6865.07</v>
      </c>
      <c r="F12" s="8">
        <f t="shared" si="2"/>
        <v>32.687696409865723</v>
      </c>
    </row>
    <row r="13" spans="1:11" x14ac:dyDescent="0.15">
      <c r="A13" s="79" t="s">
        <v>289</v>
      </c>
      <c r="B13" s="78" t="s">
        <v>288</v>
      </c>
      <c r="C13" s="68">
        <v>2903</v>
      </c>
      <c r="D13" s="68">
        <v>0</v>
      </c>
      <c r="E13" s="68">
        <v>0</v>
      </c>
      <c r="F13" s="8">
        <f t="shared" si="2"/>
        <v>0</v>
      </c>
    </row>
    <row r="14" spans="1:11" s="12" customFormat="1" x14ac:dyDescent="0.15">
      <c r="A14" s="14" t="s">
        <v>287</v>
      </c>
      <c r="B14" s="3" t="s">
        <v>120</v>
      </c>
      <c r="C14" s="61">
        <f>SUM(C15:C21)</f>
        <v>189900</v>
      </c>
      <c r="D14" s="61">
        <f t="shared" ref="D14:E14" si="4">SUM(D15:D21)</f>
        <v>14452</v>
      </c>
      <c r="E14" s="61">
        <f t="shared" si="4"/>
        <v>30716.7</v>
      </c>
      <c r="F14" s="16">
        <f t="shared" si="2"/>
        <v>16.175197472353872</v>
      </c>
    </row>
    <row r="15" spans="1:11" x14ac:dyDescent="0.15">
      <c r="A15" s="79" t="s">
        <v>286</v>
      </c>
      <c r="B15" s="78" t="s">
        <v>285</v>
      </c>
      <c r="C15" s="68">
        <v>0</v>
      </c>
      <c r="D15" s="68">
        <v>0</v>
      </c>
      <c r="E15" s="68">
        <v>0</v>
      </c>
      <c r="F15" s="8">
        <v>0</v>
      </c>
    </row>
    <row r="16" spans="1:11" x14ac:dyDescent="0.15">
      <c r="A16" s="79" t="s">
        <v>284</v>
      </c>
      <c r="B16" s="78" t="s">
        <v>283</v>
      </c>
      <c r="C16" s="68">
        <v>0</v>
      </c>
      <c r="D16" s="68">
        <v>0</v>
      </c>
      <c r="E16" s="68">
        <v>0</v>
      </c>
      <c r="F16" s="8">
        <v>0</v>
      </c>
    </row>
    <row r="17" spans="1:10" x14ac:dyDescent="0.15">
      <c r="A17" s="79" t="s">
        <v>282</v>
      </c>
      <c r="B17" s="78" t="s">
        <v>281</v>
      </c>
      <c r="C17" s="68">
        <v>0</v>
      </c>
      <c r="D17" s="68">
        <v>0</v>
      </c>
      <c r="E17" s="68">
        <v>0</v>
      </c>
      <c r="F17" s="8">
        <v>0</v>
      </c>
    </row>
    <row r="18" spans="1:10" x14ac:dyDescent="0.15">
      <c r="A18" s="79" t="s">
        <v>280</v>
      </c>
      <c r="B18" s="78" t="s">
        <v>279</v>
      </c>
      <c r="C18" s="68">
        <v>0</v>
      </c>
      <c r="D18" s="68">
        <v>0</v>
      </c>
      <c r="E18" s="68">
        <v>0</v>
      </c>
      <c r="F18" s="8">
        <v>0</v>
      </c>
    </row>
    <row r="19" spans="1:10" x14ac:dyDescent="0.15">
      <c r="A19" s="79" t="s">
        <v>278</v>
      </c>
      <c r="B19" s="78" t="s">
        <v>277</v>
      </c>
      <c r="C19" s="68">
        <v>16000</v>
      </c>
      <c r="D19" s="68">
        <v>2400</v>
      </c>
      <c r="E19" s="68">
        <v>4800</v>
      </c>
      <c r="F19" s="8">
        <f t="shared" si="2"/>
        <v>30</v>
      </c>
    </row>
    <row r="20" spans="1:10" x14ac:dyDescent="0.15">
      <c r="A20" s="79" t="s">
        <v>276</v>
      </c>
      <c r="B20" s="78" t="s">
        <v>275</v>
      </c>
      <c r="C20" s="68">
        <v>125000</v>
      </c>
      <c r="D20" s="68">
        <v>10410</v>
      </c>
      <c r="E20" s="68">
        <v>20820</v>
      </c>
      <c r="F20" s="8">
        <f t="shared" si="2"/>
        <v>16.656000000000002</v>
      </c>
    </row>
    <row r="21" spans="1:10" x14ac:dyDescent="0.15">
      <c r="A21" s="79" t="s">
        <v>274</v>
      </c>
      <c r="B21" s="78" t="s">
        <v>52</v>
      </c>
      <c r="C21" s="68">
        <v>48900</v>
      </c>
      <c r="D21" s="68">
        <v>1642</v>
      </c>
      <c r="E21" s="68">
        <v>5096.7</v>
      </c>
      <c r="F21" s="8">
        <f>E21/C21*100</f>
        <v>10.422699386503067</v>
      </c>
    </row>
    <row r="22" spans="1:10" s="12" customFormat="1" x14ac:dyDescent="0.15">
      <c r="A22" s="14" t="s">
        <v>273</v>
      </c>
      <c r="B22" s="3" t="s">
        <v>119</v>
      </c>
      <c r="C22" s="61">
        <f>SUM(C23:C28)</f>
        <v>152000</v>
      </c>
      <c r="D22" s="61">
        <f t="shared" ref="D22:E22" si="5">SUM(D23:D28)</f>
        <v>8118.8899999999994</v>
      </c>
      <c r="E22" s="61">
        <f t="shared" si="5"/>
        <v>16224.53</v>
      </c>
      <c r="F22" s="16">
        <f>E22/C22*100</f>
        <v>10.674032894736843</v>
      </c>
    </row>
    <row r="23" spans="1:10" x14ac:dyDescent="0.15">
      <c r="A23" s="79" t="s">
        <v>272</v>
      </c>
      <c r="B23" s="78" t="s">
        <v>271</v>
      </c>
      <c r="C23" s="68">
        <v>28500</v>
      </c>
      <c r="D23" s="68">
        <v>0</v>
      </c>
      <c r="E23" s="68">
        <v>568</v>
      </c>
      <c r="F23" s="8">
        <f t="shared" ref="F23:F38" si="6">E23/C23*100</f>
        <v>1.9929824561403509</v>
      </c>
    </row>
    <row r="24" spans="1:10" x14ac:dyDescent="0.15">
      <c r="A24" s="79" t="s">
        <v>270</v>
      </c>
      <c r="B24" s="78" t="s">
        <v>269</v>
      </c>
      <c r="C24" s="68">
        <v>0</v>
      </c>
      <c r="D24" s="68">
        <v>0</v>
      </c>
      <c r="E24" s="68">
        <v>0</v>
      </c>
      <c r="F24" s="8">
        <v>0</v>
      </c>
    </row>
    <row r="25" spans="1:10" x14ac:dyDescent="0.15">
      <c r="A25" s="79" t="s">
        <v>268</v>
      </c>
      <c r="B25" s="78" t="s">
        <v>267</v>
      </c>
      <c r="C25" s="68">
        <v>15500</v>
      </c>
      <c r="D25" s="68">
        <v>1077</v>
      </c>
      <c r="E25" s="68">
        <v>1390</v>
      </c>
      <c r="F25" s="8">
        <f t="shared" si="6"/>
        <v>8.9677419354838701</v>
      </c>
    </row>
    <row r="26" spans="1:10" x14ac:dyDescent="0.15">
      <c r="A26" s="79" t="s">
        <v>266</v>
      </c>
      <c r="B26" s="78" t="s">
        <v>265</v>
      </c>
      <c r="C26" s="68">
        <v>37000</v>
      </c>
      <c r="D26" s="68">
        <v>4265.83</v>
      </c>
      <c r="E26" s="68">
        <v>9136.3700000000008</v>
      </c>
      <c r="F26" s="8">
        <f t="shared" si="6"/>
        <v>24.692891891891893</v>
      </c>
    </row>
    <row r="27" spans="1:10" x14ac:dyDescent="0.15">
      <c r="A27" s="79" t="s">
        <v>264</v>
      </c>
      <c r="B27" s="78" t="s">
        <v>263</v>
      </c>
      <c r="C27" s="68">
        <v>70000</v>
      </c>
      <c r="D27" s="68">
        <v>2740.07</v>
      </c>
      <c r="E27" s="68">
        <v>4888.17</v>
      </c>
      <c r="F27" s="8">
        <f t="shared" si="6"/>
        <v>6.9831000000000003</v>
      </c>
    </row>
    <row r="28" spans="1:10" x14ac:dyDescent="0.15">
      <c r="A28" s="79" t="s">
        <v>262</v>
      </c>
      <c r="B28" s="78" t="s">
        <v>261</v>
      </c>
      <c r="C28" s="68">
        <v>1000</v>
      </c>
      <c r="D28" s="68">
        <v>35.99</v>
      </c>
      <c r="E28" s="68">
        <v>241.99</v>
      </c>
      <c r="F28" s="8">
        <f t="shared" si="6"/>
        <v>24.199000000000002</v>
      </c>
    </row>
    <row r="29" spans="1:10" s="12" customFormat="1" x14ac:dyDescent="0.15">
      <c r="A29" s="14" t="s">
        <v>260</v>
      </c>
      <c r="B29" s="3" t="s">
        <v>118</v>
      </c>
      <c r="C29" s="61">
        <f>SUM(C30:C38)</f>
        <v>1016550</v>
      </c>
      <c r="D29" s="61">
        <f t="shared" ref="D29" si="7">SUM(D30:D38)</f>
        <v>35372.259999999995</v>
      </c>
      <c r="E29" s="61">
        <f>SUM(E30:E38)</f>
        <v>101919.69</v>
      </c>
      <c r="F29" s="16">
        <f t="shared" si="6"/>
        <v>10.026038069942453</v>
      </c>
      <c r="H29" s="63"/>
      <c r="J29" s="63"/>
    </row>
    <row r="30" spans="1:10" x14ac:dyDescent="0.15">
      <c r="A30" s="79" t="s">
        <v>259</v>
      </c>
      <c r="B30" s="78" t="s">
        <v>258</v>
      </c>
      <c r="C30" s="68">
        <v>49600</v>
      </c>
      <c r="D30" s="68">
        <v>3113.4</v>
      </c>
      <c r="E30" s="68">
        <v>5940.6</v>
      </c>
      <c r="F30" s="8">
        <f t="shared" si="6"/>
        <v>11.977016129032258</v>
      </c>
    </row>
    <row r="31" spans="1:10" x14ac:dyDescent="0.15">
      <c r="A31" s="79" t="s">
        <v>257</v>
      </c>
      <c r="B31" s="78" t="s">
        <v>256</v>
      </c>
      <c r="C31" s="68">
        <v>23000</v>
      </c>
      <c r="D31" s="68">
        <v>0</v>
      </c>
      <c r="E31" s="68">
        <v>1064.32</v>
      </c>
      <c r="F31" s="8">
        <f t="shared" si="6"/>
        <v>4.627478260869565</v>
      </c>
    </row>
    <row r="32" spans="1:10" x14ac:dyDescent="0.15">
      <c r="A32" s="79" t="s">
        <v>255</v>
      </c>
      <c r="B32" s="78" t="s">
        <v>254</v>
      </c>
      <c r="C32" s="68">
        <v>18000</v>
      </c>
      <c r="D32" s="68">
        <v>1409.45</v>
      </c>
      <c r="E32" s="68">
        <v>3089.15</v>
      </c>
      <c r="F32" s="8">
        <f t="shared" si="6"/>
        <v>17.161944444444448</v>
      </c>
    </row>
    <row r="33" spans="1:8" x14ac:dyDescent="0.15">
      <c r="A33" s="79" t="s">
        <v>253</v>
      </c>
      <c r="B33" s="78" t="s">
        <v>252</v>
      </c>
      <c r="C33" s="68">
        <v>9000</v>
      </c>
      <c r="D33" s="68">
        <v>1217.82</v>
      </c>
      <c r="E33" s="68">
        <v>2316.14</v>
      </c>
      <c r="F33" s="8">
        <f t="shared" si="6"/>
        <v>25.734888888888886</v>
      </c>
      <c r="H33" s="18"/>
    </row>
    <row r="34" spans="1:8" x14ac:dyDescent="0.15">
      <c r="A34" s="79" t="s">
        <v>251</v>
      </c>
      <c r="B34" s="78" t="s">
        <v>250</v>
      </c>
      <c r="C34" s="68">
        <v>0</v>
      </c>
      <c r="D34" s="68">
        <v>0</v>
      </c>
      <c r="E34" s="68">
        <v>0</v>
      </c>
      <c r="F34" s="8">
        <v>0</v>
      </c>
    </row>
    <row r="35" spans="1:8" x14ac:dyDescent="0.15">
      <c r="A35" s="79" t="s">
        <v>249</v>
      </c>
      <c r="B35" s="78" t="s">
        <v>248</v>
      </c>
      <c r="C35" s="68">
        <v>500</v>
      </c>
      <c r="D35" s="68">
        <v>0</v>
      </c>
      <c r="E35" s="68">
        <v>228.09</v>
      </c>
      <c r="F35" s="8">
        <f t="shared" si="6"/>
        <v>45.618000000000002</v>
      </c>
    </row>
    <row r="36" spans="1:8" x14ac:dyDescent="0.15">
      <c r="A36" s="79" t="s">
        <v>247</v>
      </c>
      <c r="B36" s="78" t="s">
        <v>246</v>
      </c>
      <c r="C36" s="68">
        <v>819000</v>
      </c>
      <c r="D36" s="68">
        <v>23003.93</v>
      </c>
      <c r="E36" s="68">
        <v>79705.05</v>
      </c>
      <c r="F36" s="8">
        <f t="shared" si="6"/>
        <v>9.7319963369963371</v>
      </c>
    </row>
    <row r="37" spans="1:8" x14ac:dyDescent="0.15">
      <c r="A37" s="79" t="s">
        <v>245</v>
      </c>
      <c r="B37" s="78" t="s">
        <v>244</v>
      </c>
      <c r="C37" s="68">
        <v>8000</v>
      </c>
      <c r="D37" s="68">
        <v>0</v>
      </c>
      <c r="E37" s="68">
        <v>0</v>
      </c>
      <c r="F37" s="8">
        <v>0</v>
      </c>
    </row>
    <row r="38" spans="1:8" x14ac:dyDescent="0.15">
      <c r="A38" s="79" t="s">
        <v>243</v>
      </c>
      <c r="B38" s="78" t="s">
        <v>242</v>
      </c>
      <c r="C38" s="68">
        <v>89450</v>
      </c>
      <c r="D38" s="68">
        <v>6627.66</v>
      </c>
      <c r="E38" s="68">
        <v>9576.34</v>
      </c>
      <c r="F38" s="8">
        <f t="shared" si="6"/>
        <v>10.705802124091672</v>
      </c>
    </row>
    <row r="39" spans="1:8" s="12" customFormat="1" x14ac:dyDescent="0.15">
      <c r="A39" s="14" t="s">
        <v>241</v>
      </c>
      <c r="B39" s="3" t="s">
        <v>117</v>
      </c>
      <c r="C39" s="61">
        <f>SUM(C40:C42)</f>
        <v>99000</v>
      </c>
      <c r="D39" s="61">
        <f t="shared" ref="D39:E39" si="8">SUM(D40:D42)</f>
        <v>3592.88</v>
      </c>
      <c r="E39" s="61">
        <f t="shared" si="8"/>
        <v>8291.59</v>
      </c>
      <c r="F39" s="16">
        <f>E39/C39*100</f>
        <v>8.3753434343434332</v>
      </c>
    </row>
    <row r="40" spans="1:8" x14ac:dyDescent="0.15">
      <c r="A40" s="79" t="s">
        <v>240</v>
      </c>
      <c r="B40" s="78" t="s">
        <v>239</v>
      </c>
      <c r="C40" s="68">
        <v>0</v>
      </c>
      <c r="D40" s="68">
        <v>0</v>
      </c>
      <c r="E40" s="68">
        <v>0</v>
      </c>
      <c r="F40" s="8">
        <v>0</v>
      </c>
    </row>
    <row r="41" spans="1:8" x14ac:dyDescent="0.15">
      <c r="A41" s="79" t="s">
        <v>238</v>
      </c>
      <c r="B41" s="78" t="s">
        <v>237</v>
      </c>
      <c r="C41" s="68">
        <v>0</v>
      </c>
      <c r="D41" s="68">
        <v>0</v>
      </c>
      <c r="E41" s="68">
        <v>0</v>
      </c>
      <c r="F41" s="8">
        <v>0</v>
      </c>
    </row>
    <row r="42" spans="1:8" x14ac:dyDescent="0.15">
      <c r="A42" s="79" t="s">
        <v>236</v>
      </c>
      <c r="B42" s="78" t="s">
        <v>235</v>
      </c>
      <c r="C42" s="68">
        <v>99000</v>
      </c>
      <c r="D42" s="68">
        <v>3592.88</v>
      </c>
      <c r="E42" s="68">
        <v>8291.59</v>
      </c>
      <c r="F42" s="8">
        <v>0</v>
      </c>
    </row>
    <row r="43" spans="1:8" s="12" customFormat="1" x14ac:dyDescent="0.15">
      <c r="A43" s="14" t="s">
        <v>234</v>
      </c>
      <c r="B43" s="3" t="s">
        <v>116</v>
      </c>
      <c r="C43" s="61">
        <f>+C44+C45</f>
        <v>10000</v>
      </c>
      <c r="D43" s="61">
        <f t="shared" ref="D43:E43" si="9">+D44+D45</f>
        <v>878.55</v>
      </c>
      <c r="E43" s="61">
        <f t="shared" si="9"/>
        <v>1926.61</v>
      </c>
      <c r="F43" s="16">
        <f>E43/C43*100</f>
        <v>19.266100000000002</v>
      </c>
    </row>
    <row r="44" spans="1:8" x14ac:dyDescent="0.15">
      <c r="A44" s="79" t="s">
        <v>233</v>
      </c>
      <c r="B44" s="78" t="s">
        <v>232</v>
      </c>
      <c r="C44" s="68">
        <v>10000</v>
      </c>
      <c r="D44" s="68">
        <v>878.55</v>
      </c>
      <c r="E44" s="68">
        <v>1926.61</v>
      </c>
      <c r="F44" s="8">
        <f>E44/C44*100</f>
        <v>19.266100000000002</v>
      </c>
    </row>
    <row r="45" spans="1:8" x14ac:dyDescent="0.15">
      <c r="A45" s="79" t="s">
        <v>231</v>
      </c>
      <c r="B45" s="78" t="s">
        <v>230</v>
      </c>
      <c r="C45" s="68">
        <v>0</v>
      </c>
      <c r="D45" s="68">
        <v>0</v>
      </c>
      <c r="E45" s="69">
        <v>0</v>
      </c>
      <c r="F45" s="8">
        <v>0</v>
      </c>
    </row>
    <row r="46" spans="1:8" s="12" customFormat="1" x14ac:dyDescent="0.15">
      <c r="A46" s="14" t="s">
        <v>229</v>
      </c>
      <c r="B46" s="3" t="s">
        <v>115</v>
      </c>
      <c r="C46" s="71">
        <f>+C47+C49+C48</f>
        <v>2400</v>
      </c>
      <c r="D46" s="71">
        <f>+D47+D49+D48</f>
        <v>189.81</v>
      </c>
      <c r="E46" s="71">
        <f>+E47+E49+E48</f>
        <v>388.59</v>
      </c>
      <c r="F46" s="16">
        <f>E46/C46*100</f>
        <v>16.19125</v>
      </c>
    </row>
    <row r="47" spans="1:8" x14ac:dyDescent="0.15">
      <c r="A47" s="79" t="s">
        <v>228</v>
      </c>
      <c r="B47" s="78" t="s">
        <v>227</v>
      </c>
      <c r="C47" s="68">
        <v>2400</v>
      </c>
      <c r="D47" s="68">
        <v>189.81</v>
      </c>
      <c r="E47" s="68">
        <v>388.59</v>
      </c>
      <c r="F47" s="8">
        <f>E47/C47*100</f>
        <v>16.19125</v>
      </c>
    </row>
    <row r="48" spans="1:8" x14ac:dyDescent="0.15">
      <c r="A48" s="79" t="s">
        <v>226</v>
      </c>
      <c r="B48" s="78" t="s">
        <v>225</v>
      </c>
      <c r="C48" s="68">
        <v>0</v>
      </c>
      <c r="D48" s="68">
        <v>0</v>
      </c>
      <c r="E48" s="68">
        <v>0</v>
      </c>
      <c r="F48" s="8">
        <v>0</v>
      </c>
    </row>
    <row r="49" spans="1:13" x14ac:dyDescent="0.15">
      <c r="A49" s="79" t="s">
        <v>224</v>
      </c>
      <c r="B49" s="78" t="s">
        <v>223</v>
      </c>
      <c r="C49" s="68">
        <v>0</v>
      </c>
      <c r="D49" s="68">
        <v>0</v>
      </c>
      <c r="E49" s="68">
        <v>0</v>
      </c>
      <c r="F49" s="8">
        <v>0</v>
      </c>
    </row>
    <row r="50" spans="1:13" s="12" customFormat="1" x14ac:dyDescent="0.15">
      <c r="A50" s="14" t="s">
        <v>222</v>
      </c>
      <c r="B50" s="3" t="s">
        <v>114</v>
      </c>
      <c r="C50" s="61">
        <v>538000</v>
      </c>
      <c r="D50" s="71">
        <v>300</v>
      </c>
      <c r="E50" s="71">
        <v>1083.99</v>
      </c>
      <c r="F50" s="16">
        <f t="shared" ref="F50:F56" si="10">E50/C50*100</f>
        <v>0.20148513011152414</v>
      </c>
    </row>
    <row r="51" spans="1:13" s="12" customFormat="1" x14ac:dyDescent="0.15">
      <c r="A51" s="14" t="s">
        <v>221</v>
      </c>
      <c r="B51" s="3" t="s">
        <v>113</v>
      </c>
      <c r="C51" s="61">
        <f>SUM(C52:C58)</f>
        <v>339300</v>
      </c>
      <c r="D51" s="61">
        <f t="shared" ref="D51:E51" si="11">SUM(D52:D58)</f>
        <v>56065.66</v>
      </c>
      <c r="E51" s="61">
        <f t="shared" si="11"/>
        <v>121283.88</v>
      </c>
      <c r="F51" s="16">
        <f t="shared" si="10"/>
        <v>35.745322723253757</v>
      </c>
      <c r="G51" s="63"/>
      <c r="H51" s="63"/>
    </row>
    <row r="52" spans="1:13" x14ac:dyDescent="0.15">
      <c r="A52" s="79" t="s">
        <v>220</v>
      </c>
      <c r="B52" s="78" t="s">
        <v>219</v>
      </c>
      <c r="C52" s="68">
        <v>100000</v>
      </c>
      <c r="D52" s="68">
        <v>21060.7</v>
      </c>
      <c r="E52" s="68">
        <v>61543.44</v>
      </c>
      <c r="F52" s="8">
        <f t="shared" si="10"/>
        <v>61.543440000000004</v>
      </c>
    </row>
    <row r="53" spans="1:13" x14ac:dyDescent="0.15">
      <c r="A53" s="79" t="s">
        <v>218</v>
      </c>
      <c r="B53" s="78" t="s">
        <v>217</v>
      </c>
      <c r="C53" s="68">
        <v>100000</v>
      </c>
      <c r="D53" s="68">
        <v>31894.52</v>
      </c>
      <c r="E53" s="68">
        <v>50763.53</v>
      </c>
      <c r="F53" s="8">
        <f t="shared" si="10"/>
        <v>50.763530000000003</v>
      </c>
    </row>
    <row r="54" spans="1:13" x14ac:dyDescent="0.15">
      <c r="A54" s="79" t="s">
        <v>216</v>
      </c>
      <c r="B54" s="78" t="s">
        <v>215</v>
      </c>
      <c r="C54" s="68">
        <v>25000</v>
      </c>
      <c r="D54" s="68">
        <v>1014</v>
      </c>
      <c r="E54" s="68">
        <v>2686.6</v>
      </c>
      <c r="F54" s="8">
        <f t="shared" si="10"/>
        <v>10.7464</v>
      </c>
    </row>
    <row r="55" spans="1:13" x14ac:dyDescent="0.15">
      <c r="A55" s="79" t="s">
        <v>214</v>
      </c>
      <c r="B55" s="78" t="s">
        <v>213</v>
      </c>
      <c r="C55" s="68">
        <v>16000</v>
      </c>
      <c r="D55" s="68">
        <v>0</v>
      </c>
      <c r="E55" s="68">
        <v>3744.3</v>
      </c>
      <c r="F55" s="8">
        <f t="shared" si="10"/>
        <v>23.401875</v>
      </c>
    </row>
    <row r="56" spans="1:13" x14ac:dyDescent="0.15">
      <c r="A56" s="79" t="s">
        <v>212</v>
      </c>
      <c r="B56" s="78" t="s">
        <v>211</v>
      </c>
      <c r="C56" s="68">
        <v>7800</v>
      </c>
      <c r="D56" s="68">
        <v>449.58</v>
      </c>
      <c r="E56" s="68">
        <v>899.15</v>
      </c>
      <c r="F56" s="8">
        <f t="shared" si="10"/>
        <v>11.527564102564103</v>
      </c>
    </row>
    <row r="57" spans="1:13" x14ac:dyDescent="0.15">
      <c r="A57" s="79" t="s">
        <v>210</v>
      </c>
      <c r="B57" s="78" t="s">
        <v>18</v>
      </c>
      <c r="C57" s="68">
        <v>0</v>
      </c>
      <c r="D57" s="68">
        <v>0</v>
      </c>
      <c r="E57" s="68">
        <v>0</v>
      </c>
      <c r="F57" s="8">
        <v>0</v>
      </c>
    </row>
    <row r="58" spans="1:13" x14ac:dyDescent="0.15">
      <c r="A58" s="79" t="s">
        <v>209</v>
      </c>
      <c r="B58" s="78" t="s">
        <v>208</v>
      </c>
      <c r="C58" s="68">
        <v>90500</v>
      </c>
      <c r="D58" s="68">
        <v>1646.86</v>
      </c>
      <c r="E58" s="68">
        <v>1646.86</v>
      </c>
      <c r="F58" s="8">
        <f>E58/C58*100</f>
        <v>1.819734806629834</v>
      </c>
    </row>
    <row r="59" spans="1:13" s="12" customFormat="1" x14ac:dyDescent="0.15">
      <c r="A59" s="14" t="s">
        <v>207</v>
      </c>
      <c r="B59" s="3" t="s">
        <v>111</v>
      </c>
      <c r="C59" s="61">
        <v>1000</v>
      </c>
      <c r="D59" s="71">
        <v>0</v>
      </c>
      <c r="E59" s="71">
        <v>0</v>
      </c>
      <c r="F59" s="16">
        <v>0</v>
      </c>
    </row>
    <row r="60" spans="1:13" s="12" customFormat="1" ht="21" x14ac:dyDescent="0.15">
      <c r="A60" s="14" t="s">
        <v>206</v>
      </c>
      <c r="B60" s="3" t="s">
        <v>110</v>
      </c>
      <c r="C60" s="61">
        <f>SUM(C61,C71)</f>
        <v>7673800</v>
      </c>
      <c r="D60" s="61">
        <f t="shared" ref="D60:E60" si="12">SUM(D61,D71)</f>
        <v>726101.06</v>
      </c>
      <c r="E60" s="61">
        <f t="shared" si="12"/>
        <v>1722054.63</v>
      </c>
      <c r="F60" s="16">
        <f>E60/C60*100</f>
        <v>22.440702520263752</v>
      </c>
    </row>
    <row r="61" spans="1:13" ht="21" x14ac:dyDescent="0.15">
      <c r="A61" s="14" t="s">
        <v>205</v>
      </c>
      <c r="B61" s="3" t="s">
        <v>110</v>
      </c>
      <c r="C61" s="61">
        <f t="shared" ref="C61:E61" si="13">SUM(C62:C70)</f>
        <v>3212300</v>
      </c>
      <c r="D61" s="61">
        <f t="shared" si="13"/>
        <v>278318.93</v>
      </c>
      <c r="E61" s="61">
        <f t="shared" si="13"/>
        <v>632155.48</v>
      </c>
      <c r="F61" s="16">
        <f>E61/C61*100</f>
        <v>19.679216760576534</v>
      </c>
    </row>
    <row r="62" spans="1:13" x14ac:dyDescent="0.15">
      <c r="A62" s="79" t="s">
        <v>204</v>
      </c>
      <c r="B62" s="78" t="s">
        <v>203</v>
      </c>
      <c r="C62" s="68">
        <v>0</v>
      </c>
      <c r="D62" s="68">
        <v>0</v>
      </c>
      <c r="E62" s="68">
        <v>0</v>
      </c>
      <c r="F62" s="8">
        <v>0</v>
      </c>
      <c r="H62" s="18"/>
    </row>
    <row r="63" spans="1:13" x14ac:dyDescent="0.15">
      <c r="A63" s="79" t="s">
        <v>202</v>
      </c>
      <c r="B63" s="78" t="s">
        <v>201</v>
      </c>
      <c r="C63" s="68">
        <v>12000</v>
      </c>
      <c r="D63" s="68">
        <v>4210</v>
      </c>
      <c r="E63" s="68">
        <v>4210</v>
      </c>
      <c r="F63" s="8">
        <f t="shared" ref="F63:F71" si="14">E63/C63*100</f>
        <v>35.083333333333336</v>
      </c>
      <c r="L63" s="18"/>
      <c r="M63" s="18"/>
    </row>
    <row r="64" spans="1:13" x14ac:dyDescent="0.15">
      <c r="A64" s="79" t="s">
        <v>200</v>
      </c>
      <c r="B64" s="78" t="s">
        <v>199</v>
      </c>
      <c r="C64" s="68">
        <v>740500</v>
      </c>
      <c r="D64" s="68">
        <v>57559.49</v>
      </c>
      <c r="E64" s="68">
        <v>92765.49</v>
      </c>
      <c r="F64" s="8">
        <f t="shared" si="14"/>
        <v>12.527412559081702</v>
      </c>
      <c r="L64" s="18"/>
      <c r="M64" s="18"/>
    </row>
    <row r="65" spans="1:13" x14ac:dyDescent="0.15">
      <c r="A65" s="79" t="s">
        <v>198</v>
      </c>
      <c r="B65" s="78" t="s">
        <v>197</v>
      </c>
      <c r="C65" s="68">
        <v>13300</v>
      </c>
      <c r="D65" s="68">
        <v>0</v>
      </c>
      <c r="E65" s="68">
        <v>0</v>
      </c>
      <c r="F65" s="8">
        <f t="shared" si="14"/>
        <v>0</v>
      </c>
      <c r="L65" s="18"/>
      <c r="M65" s="18"/>
    </row>
    <row r="66" spans="1:13" ht="21" x14ac:dyDescent="0.15">
      <c r="A66" s="79" t="s">
        <v>196</v>
      </c>
      <c r="B66" s="78" t="s">
        <v>195</v>
      </c>
      <c r="C66" s="68">
        <v>148000</v>
      </c>
      <c r="D66" s="68">
        <v>12161.51</v>
      </c>
      <c r="E66" s="68">
        <v>24323.02</v>
      </c>
      <c r="F66" s="8">
        <f t="shared" si="14"/>
        <v>16.434472972972973</v>
      </c>
      <c r="L66" s="18"/>
      <c r="M66" s="18"/>
    </row>
    <row r="67" spans="1:13" x14ac:dyDescent="0.15">
      <c r="A67" s="79" t="s">
        <v>194</v>
      </c>
      <c r="B67" s="78" t="s">
        <v>193</v>
      </c>
      <c r="C67" s="68">
        <v>85000</v>
      </c>
      <c r="D67" s="68">
        <v>17680</v>
      </c>
      <c r="E67" s="68">
        <v>33526.28</v>
      </c>
      <c r="F67" s="8">
        <f t="shared" si="14"/>
        <v>39.442682352941176</v>
      </c>
      <c r="L67" s="18"/>
      <c r="M67" s="18"/>
    </row>
    <row r="68" spans="1:13" x14ac:dyDescent="0.15">
      <c r="A68" s="79" t="s">
        <v>192</v>
      </c>
      <c r="B68" s="78" t="s">
        <v>191</v>
      </c>
      <c r="C68" s="68">
        <v>10000</v>
      </c>
      <c r="D68" s="68">
        <v>0</v>
      </c>
      <c r="E68" s="68">
        <v>0</v>
      </c>
      <c r="F68" s="8">
        <v>0</v>
      </c>
      <c r="L68" s="18"/>
      <c r="M68" s="18"/>
    </row>
    <row r="69" spans="1:13" x14ac:dyDescent="0.15">
      <c r="A69" s="79" t="s">
        <v>190</v>
      </c>
      <c r="B69" s="78" t="s">
        <v>189</v>
      </c>
      <c r="C69" s="68">
        <v>65000</v>
      </c>
      <c r="D69" s="68">
        <v>0</v>
      </c>
      <c r="E69" s="68">
        <v>7884</v>
      </c>
      <c r="F69" s="8">
        <f t="shared" si="14"/>
        <v>12.129230769230768</v>
      </c>
      <c r="L69" s="18"/>
      <c r="M69" s="18"/>
    </row>
    <row r="70" spans="1:13" x14ac:dyDescent="0.15">
      <c r="A70" s="79" t="s">
        <v>188</v>
      </c>
      <c r="B70" s="78" t="s">
        <v>187</v>
      </c>
      <c r="C70" s="68">
        <v>2138500</v>
      </c>
      <c r="D70" s="68">
        <v>186707.93</v>
      </c>
      <c r="E70" s="68">
        <v>469446.69</v>
      </c>
      <c r="F70" s="8">
        <f t="shared" si="14"/>
        <v>21.95214823474398</v>
      </c>
    </row>
    <row r="71" spans="1:13" s="12" customFormat="1" x14ac:dyDescent="0.15">
      <c r="A71" s="14" t="s">
        <v>186</v>
      </c>
      <c r="B71" s="3" t="s">
        <v>109</v>
      </c>
      <c r="C71" s="71">
        <f>+C72+C73+C74</f>
        <v>4461500</v>
      </c>
      <c r="D71" s="71">
        <f t="shared" ref="D71:E71" si="15">+D72+D73+D74</f>
        <v>447782.13</v>
      </c>
      <c r="E71" s="71">
        <f t="shared" si="15"/>
        <v>1089899.1499999999</v>
      </c>
      <c r="F71" s="16">
        <f t="shared" si="14"/>
        <v>24.428984646419362</v>
      </c>
    </row>
    <row r="72" spans="1:13" x14ac:dyDescent="0.15">
      <c r="A72" s="79" t="s">
        <v>185</v>
      </c>
      <c r="B72" s="78" t="s">
        <v>184</v>
      </c>
      <c r="C72" s="68">
        <v>0</v>
      </c>
      <c r="D72" s="68">
        <v>0</v>
      </c>
      <c r="E72" s="68">
        <v>0</v>
      </c>
      <c r="F72" s="8">
        <v>0</v>
      </c>
    </row>
    <row r="73" spans="1:13" x14ac:dyDescent="0.15">
      <c r="A73" s="79" t="s">
        <v>183</v>
      </c>
      <c r="B73" s="78" t="s">
        <v>182</v>
      </c>
      <c r="C73" s="68">
        <v>0</v>
      </c>
      <c r="D73" s="68">
        <v>0</v>
      </c>
      <c r="E73" s="68">
        <v>0</v>
      </c>
      <c r="F73" s="8">
        <v>0</v>
      </c>
    </row>
    <row r="74" spans="1:13" x14ac:dyDescent="0.15">
      <c r="A74" s="79" t="s">
        <v>181</v>
      </c>
      <c r="B74" s="78" t="s">
        <v>180</v>
      </c>
      <c r="C74" s="68">
        <v>4461500</v>
      </c>
      <c r="D74" s="68">
        <v>447782.13</v>
      </c>
      <c r="E74" s="68">
        <v>1089899.1499999999</v>
      </c>
      <c r="F74" s="8">
        <f>E74/C74*100</f>
        <v>24.428984646419362</v>
      </c>
    </row>
    <row r="75" spans="1:13" s="12" customFormat="1" x14ac:dyDescent="0.15">
      <c r="A75" s="14" t="s">
        <v>179</v>
      </c>
      <c r="B75" s="3" t="s">
        <v>108</v>
      </c>
      <c r="C75" s="61">
        <f>+C76</f>
        <v>4557500</v>
      </c>
      <c r="D75" s="61">
        <f t="shared" ref="D75:E75" si="16">+D76</f>
        <v>36047.040000000001</v>
      </c>
      <c r="E75" s="61">
        <f t="shared" si="16"/>
        <v>154263.53999999998</v>
      </c>
      <c r="F75" s="16">
        <f>E75/C75*100</f>
        <v>3.3848280855732304</v>
      </c>
    </row>
    <row r="76" spans="1:13" x14ac:dyDescent="0.15">
      <c r="A76" s="14" t="s">
        <v>178</v>
      </c>
      <c r="B76" s="3" t="s">
        <v>108</v>
      </c>
      <c r="C76" s="61">
        <f>SUM(C77:C83)</f>
        <v>4557500</v>
      </c>
      <c r="D76" s="61">
        <f t="shared" ref="D76:E76" si="17">SUM(D77:D83)</f>
        <v>36047.040000000001</v>
      </c>
      <c r="E76" s="61">
        <f t="shared" si="17"/>
        <v>154263.53999999998</v>
      </c>
      <c r="F76" s="16">
        <f>E76/C76*100</f>
        <v>3.3848280855732304</v>
      </c>
    </row>
    <row r="77" spans="1:13" x14ac:dyDescent="0.15">
      <c r="A77" s="79" t="s">
        <v>177</v>
      </c>
      <c r="B77" s="78" t="s">
        <v>176</v>
      </c>
      <c r="C77" s="68">
        <v>850000</v>
      </c>
      <c r="D77" s="68">
        <v>0</v>
      </c>
      <c r="E77" s="68">
        <v>0</v>
      </c>
      <c r="F77" s="8">
        <v>0</v>
      </c>
    </row>
    <row r="78" spans="1:13" x14ac:dyDescent="0.15">
      <c r="A78" s="79" t="s">
        <v>175</v>
      </c>
      <c r="B78" s="78" t="s">
        <v>174</v>
      </c>
      <c r="C78" s="68">
        <v>383000</v>
      </c>
      <c r="D78" s="68">
        <v>0</v>
      </c>
      <c r="E78" s="68">
        <v>33691</v>
      </c>
      <c r="F78" s="8">
        <f>E78/C78*100</f>
        <v>8.7966057441253263</v>
      </c>
    </row>
    <row r="79" spans="1:13" x14ac:dyDescent="0.15">
      <c r="A79" s="79" t="s">
        <v>173</v>
      </c>
      <c r="B79" s="78" t="s">
        <v>172</v>
      </c>
      <c r="C79" s="68">
        <v>1330000</v>
      </c>
      <c r="D79" s="68">
        <v>0</v>
      </c>
      <c r="E79" s="68">
        <v>58419.12</v>
      </c>
      <c r="F79" s="8">
        <f>E79/C79*100</f>
        <v>4.3924150375939854</v>
      </c>
    </row>
    <row r="80" spans="1:13" x14ac:dyDescent="0.15">
      <c r="A80" s="79" t="s">
        <v>171</v>
      </c>
      <c r="B80" s="78" t="s">
        <v>170</v>
      </c>
      <c r="C80" s="68">
        <v>0</v>
      </c>
      <c r="D80" s="68">
        <v>0</v>
      </c>
      <c r="E80" s="68">
        <v>0</v>
      </c>
      <c r="F80" s="8">
        <v>0</v>
      </c>
    </row>
    <row r="81" spans="1:6" x14ac:dyDescent="0.15">
      <c r="A81" s="79" t="s">
        <v>169</v>
      </c>
      <c r="B81" s="78" t="s">
        <v>168</v>
      </c>
      <c r="C81" s="68">
        <v>903500</v>
      </c>
      <c r="D81" s="68">
        <v>9536.2000000000007</v>
      </c>
      <c r="E81" s="68">
        <v>15383.7</v>
      </c>
      <c r="F81" s="8">
        <f>E81/C81*100</f>
        <v>1.70267847260653</v>
      </c>
    </row>
    <row r="82" spans="1:6" x14ac:dyDescent="0.15">
      <c r="A82" s="79" t="s">
        <v>167</v>
      </c>
      <c r="B82" s="78" t="s">
        <v>166</v>
      </c>
      <c r="C82" s="68">
        <v>613500</v>
      </c>
      <c r="D82" s="68">
        <v>0</v>
      </c>
      <c r="E82" s="68">
        <v>0</v>
      </c>
      <c r="F82" s="8">
        <f>E82/C82*100</f>
        <v>0</v>
      </c>
    </row>
    <row r="83" spans="1:6" x14ac:dyDescent="0.15">
      <c r="A83" s="79" t="s">
        <v>165</v>
      </c>
      <c r="B83" s="78" t="s">
        <v>164</v>
      </c>
      <c r="C83" s="68">
        <v>477500</v>
      </c>
      <c r="D83" s="68">
        <v>26510.84</v>
      </c>
      <c r="E83" s="68">
        <v>46769.72</v>
      </c>
      <c r="F83" s="8">
        <f>E83/C83*100</f>
        <v>9.7947057591623032</v>
      </c>
    </row>
    <row r="84" spans="1:6" s="12" customFormat="1" x14ac:dyDescent="0.15">
      <c r="A84" s="14" t="s">
        <v>163</v>
      </c>
      <c r="B84" s="3" t="s">
        <v>91</v>
      </c>
      <c r="C84" s="61">
        <v>0</v>
      </c>
      <c r="D84" s="71">
        <v>0</v>
      </c>
      <c r="E84" s="71">
        <v>0</v>
      </c>
      <c r="F84" s="16">
        <v>0</v>
      </c>
    </row>
    <row r="85" spans="1:6" x14ac:dyDescent="0.15">
      <c r="A85" s="14" t="s">
        <v>162</v>
      </c>
      <c r="B85" s="3" t="s">
        <v>91</v>
      </c>
      <c r="C85" s="61">
        <v>0</v>
      </c>
      <c r="D85" s="71">
        <v>0</v>
      </c>
      <c r="E85" s="71">
        <v>0</v>
      </c>
      <c r="F85" s="16">
        <v>0</v>
      </c>
    </row>
    <row r="86" spans="1:6" x14ac:dyDescent="0.15">
      <c r="A86" s="79" t="s">
        <v>161</v>
      </c>
      <c r="B86" s="78" t="s">
        <v>160</v>
      </c>
      <c r="C86" s="70">
        <v>0</v>
      </c>
      <c r="D86" s="69">
        <v>0</v>
      </c>
      <c r="E86" s="68">
        <v>0</v>
      </c>
      <c r="F86" s="8">
        <v>0</v>
      </c>
    </row>
    <row r="87" spans="1:6" x14ac:dyDescent="0.15">
      <c r="A87" s="79" t="s">
        <v>159</v>
      </c>
      <c r="B87" s="78" t="s">
        <v>158</v>
      </c>
      <c r="C87" s="70">
        <v>0</v>
      </c>
      <c r="D87" s="69">
        <v>0</v>
      </c>
      <c r="E87" s="68">
        <v>0</v>
      </c>
      <c r="F87" s="8">
        <v>0</v>
      </c>
    </row>
    <row r="88" spans="1:6" x14ac:dyDescent="0.15">
      <c r="A88" s="79" t="s">
        <v>157</v>
      </c>
      <c r="B88" s="78" t="s">
        <v>156</v>
      </c>
      <c r="C88" s="70">
        <v>0</v>
      </c>
      <c r="D88" s="69">
        <v>0</v>
      </c>
      <c r="E88" s="68">
        <v>0</v>
      </c>
      <c r="F88" s="8">
        <v>0</v>
      </c>
    </row>
    <row r="89" spans="1:6" s="12" customFormat="1" x14ac:dyDescent="0.15">
      <c r="A89" s="14" t="s">
        <v>155</v>
      </c>
      <c r="B89" s="3" t="s">
        <v>107</v>
      </c>
      <c r="C89" s="71">
        <f>+C90+C96+C93</f>
        <v>1225603</v>
      </c>
      <c r="D89" s="71">
        <f t="shared" ref="D89:E89" si="18">+D90+D96+D93</f>
        <v>269307.14</v>
      </c>
      <c r="E89" s="71">
        <f t="shared" si="18"/>
        <v>534346.03</v>
      </c>
      <c r="F89" s="16">
        <f>E89/C89*100</f>
        <v>43.598622881960964</v>
      </c>
    </row>
    <row r="90" spans="1:6" x14ac:dyDescent="0.15">
      <c r="A90" s="14" t="s">
        <v>154</v>
      </c>
      <c r="B90" s="3" t="s">
        <v>153</v>
      </c>
      <c r="C90" s="61">
        <f>+C91</f>
        <v>251000</v>
      </c>
      <c r="D90" s="61">
        <f>+D91</f>
        <v>20883</v>
      </c>
      <c r="E90" s="61">
        <f>+E91</f>
        <v>41766</v>
      </c>
      <c r="F90" s="16">
        <f>E90/C90*100</f>
        <v>16.639840637450199</v>
      </c>
    </row>
    <row r="91" spans="1:6" ht="21" x14ac:dyDescent="0.15">
      <c r="A91" s="79" t="s">
        <v>152</v>
      </c>
      <c r="B91" s="78" t="s">
        <v>151</v>
      </c>
      <c r="C91" s="70">
        <v>251000</v>
      </c>
      <c r="D91" s="68">
        <v>20883</v>
      </c>
      <c r="E91" s="68">
        <v>41766</v>
      </c>
      <c r="F91" s="45">
        <f>E91/C91*100</f>
        <v>16.639840637450199</v>
      </c>
    </row>
    <row r="92" spans="1:6" ht="21" x14ac:dyDescent="0.15">
      <c r="A92" s="79" t="s">
        <v>150</v>
      </c>
      <c r="B92" s="78" t="s">
        <v>149</v>
      </c>
      <c r="C92" s="70">
        <v>0</v>
      </c>
      <c r="D92" s="68">
        <v>0</v>
      </c>
      <c r="E92" s="68">
        <v>0</v>
      </c>
      <c r="F92" s="45">
        <v>0</v>
      </c>
    </row>
    <row r="93" spans="1:6" x14ac:dyDescent="0.15">
      <c r="A93" s="14" t="s">
        <v>148</v>
      </c>
      <c r="B93" s="3" t="s">
        <v>147</v>
      </c>
      <c r="C93" s="61">
        <v>0</v>
      </c>
      <c r="D93" s="61">
        <v>0</v>
      </c>
      <c r="E93" s="71">
        <v>0</v>
      </c>
      <c r="F93" s="46">
        <v>0</v>
      </c>
    </row>
    <row r="94" spans="1:6" x14ac:dyDescent="0.15">
      <c r="A94" s="79" t="s">
        <v>146</v>
      </c>
      <c r="B94" s="78" t="s">
        <v>145</v>
      </c>
      <c r="C94" s="70">
        <v>0</v>
      </c>
      <c r="D94" s="84">
        <v>0</v>
      </c>
      <c r="E94" s="68">
        <v>0</v>
      </c>
      <c r="F94" s="47">
        <v>0</v>
      </c>
    </row>
    <row r="95" spans="1:6" x14ac:dyDescent="0.15">
      <c r="A95" s="79" t="s">
        <v>144</v>
      </c>
      <c r="B95" s="78" t="s">
        <v>143</v>
      </c>
      <c r="C95" s="80">
        <v>0</v>
      </c>
      <c r="D95" s="69">
        <v>0</v>
      </c>
      <c r="E95" s="68">
        <v>0</v>
      </c>
      <c r="F95" s="70">
        <v>0</v>
      </c>
    </row>
    <row r="96" spans="1:6" x14ac:dyDescent="0.15">
      <c r="A96" s="14" t="s">
        <v>142</v>
      </c>
      <c r="B96" s="3" t="s">
        <v>140</v>
      </c>
      <c r="C96" s="72">
        <f>+C97</f>
        <v>974603</v>
      </c>
      <c r="D96" s="72">
        <f t="shared" ref="D96:E96" si="19">+D97</f>
        <v>248424.14</v>
      </c>
      <c r="E96" s="61">
        <f t="shared" si="19"/>
        <v>492580.03</v>
      </c>
      <c r="F96" s="61">
        <f>E96/C96*100</f>
        <v>50.541608224066628</v>
      </c>
    </row>
    <row r="97" spans="1:10" x14ac:dyDescent="0.15">
      <c r="A97" s="79" t="s">
        <v>141</v>
      </c>
      <c r="B97" s="78" t="s">
        <v>140</v>
      </c>
      <c r="C97" s="81">
        <v>974603</v>
      </c>
      <c r="D97" s="68">
        <f>247220.88+1203.26</f>
        <v>248424.14</v>
      </c>
      <c r="E97" s="68">
        <f>491376.77+1203.26</f>
        <v>492580.03</v>
      </c>
      <c r="F97" s="66">
        <f>E97/C97*100</f>
        <v>50.541608224066628</v>
      </c>
    </row>
    <row r="98" spans="1:10" s="12" customFormat="1" x14ac:dyDescent="0.15">
      <c r="A98" s="14" t="s">
        <v>139</v>
      </c>
      <c r="B98" s="3" t="s">
        <v>138</v>
      </c>
      <c r="C98" s="72">
        <f>+C99+C100+C101</f>
        <v>360000</v>
      </c>
      <c r="D98" s="72">
        <f t="shared" ref="D98:E98" si="20">+D99+D100+D101</f>
        <v>37225.300000000003</v>
      </c>
      <c r="E98" s="61">
        <f t="shared" si="20"/>
        <v>156268.35</v>
      </c>
      <c r="F98" s="61">
        <f>E98/C98*100</f>
        <v>43.407875000000004</v>
      </c>
    </row>
    <row r="99" spans="1:10" x14ac:dyDescent="0.15">
      <c r="A99" s="79" t="s">
        <v>137</v>
      </c>
      <c r="B99" s="78" t="s">
        <v>136</v>
      </c>
      <c r="C99" s="81">
        <v>350000</v>
      </c>
      <c r="D99" s="68">
        <v>37225.300000000003</v>
      </c>
      <c r="E99" s="68">
        <v>156268.35</v>
      </c>
      <c r="F99" s="48">
        <f>E99/C99*100</f>
        <v>44.648099999999999</v>
      </c>
      <c r="J99" s="18"/>
    </row>
    <row r="100" spans="1:10" x14ac:dyDescent="0.15">
      <c r="A100" s="79" t="s">
        <v>135</v>
      </c>
      <c r="B100" s="78" t="s">
        <v>134</v>
      </c>
      <c r="C100" s="81">
        <v>10000</v>
      </c>
      <c r="D100" s="68">
        <v>0</v>
      </c>
      <c r="E100" s="68">
        <v>0</v>
      </c>
      <c r="F100" s="48">
        <v>0</v>
      </c>
      <c r="H100" s="18"/>
    </row>
    <row r="101" spans="1:10" x14ac:dyDescent="0.15">
      <c r="A101" s="79" t="s">
        <v>133</v>
      </c>
      <c r="B101" s="78" t="s">
        <v>132</v>
      </c>
      <c r="C101" s="68">
        <v>0</v>
      </c>
      <c r="D101" s="68">
        <v>0</v>
      </c>
      <c r="E101" s="68">
        <v>0</v>
      </c>
      <c r="F101" s="8">
        <v>0</v>
      </c>
    </row>
    <row r="102" spans="1:10" s="12" customFormat="1" ht="15" customHeight="1" thickBot="1" x14ac:dyDescent="0.2">
      <c r="A102" s="13" t="s">
        <v>131</v>
      </c>
      <c r="B102" s="4" t="s">
        <v>130</v>
      </c>
      <c r="C102" s="73">
        <f t="shared" ref="C102:D102" si="21">SUM(C6,C75,C84,C89,C98)</f>
        <v>19630000</v>
      </c>
      <c r="D102" s="73">
        <f t="shared" si="21"/>
        <v>1534896.6800000004</v>
      </c>
      <c r="E102" s="73">
        <f>SUM(E6,E75,E84,E89,E98)</f>
        <v>3454999.19</v>
      </c>
      <c r="F102" s="5">
        <f>E102/C102*100</f>
        <v>17.600607182883341</v>
      </c>
    </row>
    <row r="104" spans="1:10" x14ac:dyDescent="0.15">
      <c r="E104" s="18"/>
    </row>
    <row r="105" spans="1:10" x14ac:dyDescent="0.15">
      <c r="C105" s="18"/>
      <c r="D105" s="18"/>
      <c r="E105" s="18"/>
    </row>
    <row r="106" spans="1:10" x14ac:dyDescent="0.15">
      <c r="C106" s="18"/>
      <c r="D106" s="18"/>
      <c r="E106" s="18"/>
    </row>
    <row r="107" spans="1:10" x14ac:dyDescent="0.15">
      <c r="C107" s="18"/>
      <c r="D107" s="18"/>
      <c r="E107" s="18"/>
    </row>
    <row r="108" spans="1:10" x14ac:dyDescent="0.15">
      <c r="C108" s="18"/>
      <c r="D108" s="18"/>
      <c r="E108" s="18"/>
    </row>
    <row r="109" spans="1:10" x14ac:dyDescent="0.15">
      <c r="D109" s="18"/>
      <c r="E109" s="18"/>
    </row>
    <row r="110" spans="1:10" x14ac:dyDescent="0.15">
      <c r="E110" s="18"/>
    </row>
    <row r="111" spans="1:10" x14ac:dyDescent="0.15">
      <c r="D111" s="18"/>
      <c r="E111" s="18"/>
    </row>
    <row r="112" spans="1:10" x14ac:dyDescent="0.15">
      <c r="E112" s="18"/>
    </row>
    <row r="113" spans="2:5" x14ac:dyDescent="0.15">
      <c r="E113" s="18"/>
    </row>
    <row r="114" spans="2:5" x14ac:dyDescent="0.15">
      <c r="C114" s="18"/>
    </row>
    <row r="115" spans="2:5" x14ac:dyDescent="0.15">
      <c r="C115" s="18"/>
    </row>
    <row r="116" spans="2:5" ht="15" x14ac:dyDescent="0.25">
      <c r="B116" s="85"/>
      <c r="C116" s="85"/>
      <c r="E116" s="18"/>
    </row>
    <row r="117" spans="2:5" ht="15" x14ac:dyDescent="0.25">
      <c r="B117" s="86"/>
      <c r="C117" s="87"/>
      <c r="E117" s="18"/>
    </row>
    <row r="118" spans="2:5" ht="15" x14ac:dyDescent="0.25">
      <c r="B118" s="86"/>
      <c r="C118" s="87"/>
      <c r="E118" s="18"/>
    </row>
    <row r="119" spans="2:5" ht="15" x14ac:dyDescent="0.25">
      <c r="B119" s="86"/>
      <c r="C119" s="87"/>
      <c r="E119" s="18"/>
    </row>
    <row r="120" spans="2:5" ht="15" x14ac:dyDescent="0.25">
      <c r="B120" s="86"/>
      <c r="C120" s="87"/>
    </row>
    <row r="121" spans="2:5" ht="15" x14ac:dyDescent="0.25">
      <c r="B121" s="86"/>
      <c r="C121" s="87"/>
    </row>
    <row r="122" spans="2:5" ht="15" x14ac:dyDescent="0.25">
      <c r="B122" s="86"/>
      <c r="C122" s="87"/>
    </row>
    <row r="123" spans="2:5" ht="15" x14ac:dyDescent="0.25">
      <c r="B123" s="86"/>
      <c r="C123" s="87"/>
    </row>
    <row r="124" spans="2:5" ht="15" x14ac:dyDescent="0.25">
      <c r="B124" s="86"/>
      <c r="C124" s="87"/>
      <c r="E124" s="18"/>
    </row>
    <row r="125" spans="2:5" ht="15" x14ac:dyDescent="0.25">
      <c r="B125" s="86"/>
      <c r="C125" s="87"/>
      <c r="E125" s="18"/>
    </row>
    <row r="126" spans="2:5" ht="15" x14ac:dyDescent="0.25">
      <c r="B126" s="86"/>
      <c r="C126" s="87"/>
      <c r="E126" s="18"/>
    </row>
    <row r="127" spans="2:5" ht="15" x14ac:dyDescent="0.25">
      <c r="B127" s="86"/>
      <c r="C127" s="87"/>
    </row>
    <row r="128" spans="2:5" ht="15" x14ac:dyDescent="0.25">
      <c r="B128" s="86"/>
      <c r="C128" s="87"/>
    </row>
    <row r="129" spans="1:10" ht="15" x14ac:dyDescent="0.25">
      <c r="B129" s="86"/>
      <c r="C129" s="87"/>
    </row>
    <row r="130" spans="1:10" ht="15" x14ac:dyDescent="0.25">
      <c r="B130" s="86"/>
      <c r="C130" s="87"/>
    </row>
    <row r="131" spans="1:10" ht="15" x14ac:dyDescent="0.25">
      <c r="B131" s="85"/>
      <c r="C131" s="88"/>
    </row>
    <row r="132" spans="1:10" ht="15" x14ac:dyDescent="0.25">
      <c r="B132"/>
      <c r="C132"/>
    </row>
    <row r="133" spans="1:10" ht="12" x14ac:dyDescent="0.2">
      <c r="A133" s="11" t="s">
        <v>129</v>
      </c>
      <c r="B133" s="15"/>
      <c r="C133" s="15"/>
      <c r="D133" s="15"/>
      <c r="E133" s="7"/>
    </row>
    <row r="134" spans="1:10" x14ac:dyDescent="0.15">
      <c r="A134" s="10"/>
      <c r="B134" s="7"/>
      <c r="C134" s="7"/>
      <c r="D134" s="7"/>
      <c r="E134" s="7"/>
    </row>
    <row r="135" spans="1:10" ht="45.75" customHeight="1" x14ac:dyDescent="0.15">
      <c r="A135" s="10"/>
      <c r="B135" s="106" t="s">
        <v>128</v>
      </c>
      <c r="C135" s="62" t="s">
        <v>374</v>
      </c>
      <c r="D135" s="7"/>
      <c r="E135" s="7"/>
    </row>
    <row r="136" spans="1:10" ht="24.75" customHeight="1" x14ac:dyDescent="0.2">
      <c r="A136" s="10"/>
      <c r="B136" s="74" t="s">
        <v>127</v>
      </c>
      <c r="C136" s="71">
        <f>+C137+C138+C139+C140+C141+C142</f>
        <v>323928.33</v>
      </c>
      <c r="D136" s="17"/>
      <c r="E136" s="63"/>
      <c r="H136" s="17"/>
    </row>
    <row r="137" spans="1:10" ht="12" x14ac:dyDescent="0.2">
      <c r="A137" s="10"/>
      <c r="B137" s="75" t="s">
        <v>126</v>
      </c>
      <c r="C137" s="69">
        <f>830.44+603.55+1203.26</f>
        <v>2637.25</v>
      </c>
      <c r="D137" s="7"/>
      <c r="E137" s="17"/>
      <c r="J137" s="18"/>
    </row>
    <row r="138" spans="1:10" ht="12" x14ac:dyDescent="0.2">
      <c r="A138" s="10"/>
      <c r="B138" s="75" t="s">
        <v>125</v>
      </c>
      <c r="C138" s="69">
        <f>2488.86+784.97+15383.14</f>
        <v>18656.97</v>
      </c>
      <c r="D138" s="7"/>
      <c r="E138" s="94"/>
      <c r="J138" s="18"/>
    </row>
    <row r="139" spans="1:10" ht="12" x14ac:dyDescent="0.2">
      <c r="A139" s="10"/>
      <c r="B139" s="75" t="s">
        <v>124</v>
      </c>
      <c r="C139" s="69">
        <f>6185.35+3966.85+39642.96</f>
        <v>49795.16</v>
      </c>
      <c r="D139" s="7"/>
      <c r="E139" s="94"/>
      <c r="J139" s="18"/>
    </row>
    <row r="140" spans="1:10" ht="12" x14ac:dyDescent="0.2">
      <c r="A140" s="10"/>
      <c r="B140" s="75" t="s">
        <v>123</v>
      </c>
      <c r="C140" s="69">
        <f>1599.38+1016.3+4730.89</f>
        <v>7346.5700000000006</v>
      </c>
      <c r="D140" s="7"/>
      <c r="E140" s="116"/>
      <c r="J140" s="18"/>
    </row>
    <row r="141" spans="1:10" ht="12" x14ac:dyDescent="0.2">
      <c r="A141" s="10"/>
      <c r="B141" s="75" t="s">
        <v>122</v>
      </c>
      <c r="C141" s="69">
        <v>26.5</v>
      </c>
      <c r="D141" s="7"/>
      <c r="E141" s="95"/>
      <c r="J141" s="18"/>
    </row>
    <row r="142" spans="1:10" ht="12" x14ac:dyDescent="0.2">
      <c r="A142" s="10"/>
      <c r="B142" s="75" t="s">
        <v>121</v>
      </c>
      <c r="C142" s="104">
        <f>80232.1+85585.65+79648.13</f>
        <v>245465.88</v>
      </c>
      <c r="D142" s="7"/>
      <c r="E142" s="63"/>
      <c r="J142" s="18"/>
    </row>
    <row r="143" spans="1:10" ht="12" x14ac:dyDescent="0.2">
      <c r="A143" s="10"/>
      <c r="B143" s="74" t="s">
        <v>120</v>
      </c>
      <c r="C143" s="104">
        <v>150</v>
      </c>
      <c r="D143" s="7"/>
      <c r="E143" s="63"/>
      <c r="J143" s="18"/>
    </row>
    <row r="144" spans="1:10" ht="12" x14ac:dyDescent="0.2">
      <c r="A144" s="7"/>
      <c r="B144" s="74" t="s">
        <v>119</v>
      </c>
      <c r="C144" s="105">
        <f>13730.99+679.58+611.32+102.66+258.34+120+1590.38+1211.16+3465+3465+1.67</f>
        <v>25236.1</v>
      </c>
      <c r="D144" s="7"/>
      <c r="E144" s="63"/>
      <c r="J144" s="18"/>
    </row>
    <row r="145" spans="1:37" ht="12" x14ac:dyDescent="0.2">
      <c r="A145" s="7"/>
      <c r="B145" s="74" t="s">
        <v>118</v>
      </c>
      <c r="C145" s="105">
        <f>2404.59+334.6+119.5+20+23.9+69.48+7028+948+26.15+37.03+15.73+7074.12</f>
        <v>18101.099999999999</v>
      </c>
      <c r="D145" s="7"/>
      <c r="E145" s="63"/>
      <c r="F145" s="18"/>
      <c r="J145" s="18"/>
    </row>
    <row r="146" spans="1:37" ht="12" x14ac:dyDescent="0.2">
      <c r="A146" s="7"/>
      <c r="B146" s="74" t="s">
        <v>117</v>
      </c>
      <c r="C146" s="105">
        <f>12821.16+180+305.61+766.37</f>
        <v>14073.140000000001</v>
      </c>
      <c r="D146" s="7"/>
      <c r="E146" s="17"/>
      <c r="F146" s="18"/>
      <c r="J146" s="18"/>
    </row>
    <row r="147" spans="1:37" ht="12" x14ac:dyDescent="0.2">
      <c r="A147" s="7"/>
      <c r="B147" s="74" t="s">
        <v>116</v>
      </c>
      <c r="C147" s="105">
        <v>0</v>
      </c>
      <c r="D147" s="7"/>
      <c r="E147" s="63"/>
      <c r="F147" s="18"/>
      <c r="J147" s="18"/>
    </row>
    <row r="148" spans="1:37" ht="12" x14ac:dyDescent="0.2">
      <c r="A148" s="7"/>
      <c r="B148" s="74" t="s">
        <v>115</v>
      </c>
      <c r="C148" s="105">
        <v>188.84</v>
      </c>
      <c r="D148" s="7"/>
      <c r="E148" s="63"/>
      <c r="H148" s="18"/>
      <c r="J148" s="18"/>
    </row>
    <row r="149" spans="1:37" ht="12" x14ac:dyDescent="0.2">
      <c r="A149" s="7"/>
      <c r="B149" s="74" t="s">
        <v>114</v>
      </c>
      <c r="C149" s="105"/>
      <c r="D149" s="7"/>
      <c r="E149" s="63"/>
      <c r="F149" s="18"/>
      <c r="J149" s="18"/>
    </row>
    <row r="150" spans="1:37" ht="12" x14ac:dyDescent="0.2">
      <c r="A150" s="7"/>
      <c r="B150" s="74" t="s">
        <v>113</v>
      </c>
      <c r="C150" s="71">
        <f>1551.73+400+8500</f>
        <v>10451.73</v>
      </c>
      <c r="D150" s="7"/>
      <c r="E150" s="63"/>
      <c r="F150" s="7"/>
      <c r="J150" s="18"/>
    </row>
    <row r="151" spans="1:37" ht="12" x14ac:dyDescent="0.2">
      <c r="A151" s="7"/>
      <c r="B151" s="75" t="s">
        <v>112</v>
      </c>
      <c r="C151" s="69"/>
      <c r="D151" s="7"/>
      <c r="E151" s="17"/>
      <c r="H151" s="18"/>
      <c r="J151" s="18"/>
    </row>
    <row r="152" spans="1:37" ht="12" x14ac:dyDescent="0.2">
      <c r="A152" s="7"/>
      <c r="B152" s="74" t="s">
        <v>111</v>
      </c>
      <c r="C152" s="71"/>
      <c r="D152" s="7"/>
      <c r="E152" s="63"/>
      <c r="H152" s="18"/>
      <c r="J152" s="18"/>
    </row>
    <row r="153" spans="1:37" ht="26.25" customHeight="1" x14ac:dyDescent="0.15">
      <c r="A153" s="7"/>
      <c r="B153" s="76" t="s">
        <v>110</v>
      </c>
      <c r="C153" s="71">
        <f>525.68+2903.98+421.77</f>
        <v>3851.43</v>
      </c>
      <c r="D153" s="7"/>
      <c r="E153" s="63"/>
      <c r="F153" s="18"/>
      <c r="H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</row>
    <row r="154" spans="1:37" ht="12" x14ac:dyDescent="0.2">
      <c r="A154" s="7"/>
      <c r="B154" s="74" t="s">
        <v>109</v>
      </c>
      <c r="C154" s="71">
        <v>0</v>
      </c>
      <c r="D154" s="7"/>
      <c r="E154" s="6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</row>
    <row r="155" spans="1:37" ht="12" x14ac:dyDescent="0.2">
      <c r="A155" s="7"/>
      <c r="B155" s="74" t="s">
        <v>108</v>
      </c>
      <c r="C155" s="71">
        <f>1196.69+2057+93345.67</f>
        <v>96599.360000000001</v>
      </c>
      <c r="D155" s="7"/>
      <c r="E155" s="6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</row>
    <row r="156" spans="1:37" ht="12" x14ac:dyDescent="0.2">
      <c r="A156" s="7"/>
      <c r="B156" s="74" t="s">
        <v>91</v>
      </c>
      <c r="C156" s="71"/>
      <c r="D156" s="7"/>
      <c r="E156" s="63"/>
      <c r="F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</row>
    <row r="157" spans="1:37" ht="12" x14ac:dyDescent="0.2">
      <c r="A157" s="7"/>
      <c r="B157" s="74" t="s">
        <v>107</v>
      </c>
      <c r="C157" s="71"/>
      <c r="D157" s="7"/>
      <c r="E157" s="63"/>
      <c r="F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</row>
    <row r="158" spans="1:37" ht="12" x14ac:dyDescent="0.2">
      <c r="A158" s="7"/>
      <c r="B158" s="77" t="s">
        <v>106</v>
      </c>
      <c r="C158" s="71">
        <f>+C136+C143+C144+C145+C146+C147+C148+C149+C150+C152+C153+C154+C155+C156+C157</f>
        <v>492580.02999999997</v>
      </c>
      <c r="D158" s="7"/>
      <c r="E158" s="117"/>
      <c r="F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</row>
    <row r="159" spans="1:37" x14ac:dyDescent="0.15">
      <c r="A159" s="7"/>
      <c r="B159" s="7"/>
      <c r="C159" s="7"/>
      <c r="D159" s="7"/>
      <c r="E159" s="17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</row>
    <row r="160" spans="1:37" x14ac:dyDescent="0.15">
      <c r="A160" s="10"/>
      <c r="B160" s="17"/>
      <c r="C160" s="64"/>
      <c r="D160" s="7"/>
      <c r="E160" s="17"/>
      <c r="F160" s="115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</row>
    <row r="161" spans="1:37" x14ac:dyDescent="0.15">
      <c r="A161" s="10"/>
      <c r="B161" s="17"/>
      <c r="C161" s="17"/>
      <c r="D161" s="17"/>
      <c r="E161" s="17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</row>
    <row r="162" spans="1:37" x14ac:dyDescent="0.15">
      <c r="B162" s="18"/>
      <c r="C162" s="18"/>
      <c r="D162" s="18"/>
      <c r="E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</row>
    <row r="163" spans="1:37" x14ac:dyDescent="0.15">
      <c r="C163" s="18"/>
      <c r="D163" s="18"/>
      <c r="E163" s="18"/>
      <c r="F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</row>
    <row r="164" spans="1:37" x14ac:dyDescent="0.15">
      <c r="C164" s="18"/>
      <c r="D164" s="18"/>
      <c r="E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</row>
    <row r="165" spans="1:37" x14ac:dyDescent="0.15">
      <c r="C165" s="18"/>
      <c r="D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</row>
    <row r="166" spans="1:37" x14ac:dyDescent="0.15">
      <c r="C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</row>
    <row r="167" spans="1:37" x14ac:dyDescent="0.15">
      <c r="E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</row>
    <row r="168" spans="1:37" x14ac:dyDescent="0.15">
      <c r="C168" s="18"/>
      <c r="E168" s="18"/>
      <c r="F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</row>
    <row r="169" spans="1:37" x14ac:dyDescent="0.15"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</row>
    <row r="170" spans="1:37" x14ac:dyDescent="0.15"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</row>
    <row r="171" spans="1:37" x14ac:dyDescent="0.15"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</row>
    <row r="172" spans="1:37" x14ac:dyDescent="0.15"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</row>
    <row r="173" spans="1:37" x14ac:dyDescent="0.15"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</row>
    <row r="174" spans="1:37" x14ac:dyDescent="0.15"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</row>
    <row r="175" spans="1:37" x14ac:dyDescent="0.15"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</row>
    <row r="176" spans="1:37" x14ac:dyDescent="0.15"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</row>
    <row r="177" spans="10:39" x14ac:dyDescent="0.15"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</row>
    <row r="178" spans="10:39" x14ac:dyDescent="0.15"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</row>
    <row r="179" spans="10:39" x14ac:dyDescent="0.15"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</row>
    <row r="180" spans="10:39" x14ac:dyDescent="0.15"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</row>
    <row r="181" spans="10:39" x14ac:dyDescent="0.15"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M181" s="18"/>
    </row>
    <row r="182" spans="10:39" x14ac:dyDescent="0.15"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M182" s="18"/>
    </row>
    <row r="183" spans="10:39" x14ac:dyDescent="0.15"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M183" s="18"/>
    </row>
    <row r="184" spans="10:39" x14ac:dyDescent="0.15"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M184" s="18"/>
    </row>
    <row r="185" spans="10:39" x14ac:dyDescent="0.15"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M185" s="18"/>
    </row>
    <row r="186" spans="10:39" x14ac:dyDescent="0.15"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M186" s="18"/>
    </row>
    <row r="187" spans="10:39" x14ac:dyDescent="0.15"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M187" s="18"/>
    </row>
    <row r="188" spans="10:39" x14ac:dyDescent="0.15"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M188" s="18"/>
    </row>
    <row r="189" spans="10:39" x14ac:dyDescent="0.15"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M189" s="18"/>
    </row>
    <row r="190" spans="10:39" x14ac:dyDescent="0.15"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</row>
    <row r="191" spans="10:39" x14ac:dyDescent="0.15"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</row>
    <row r="192" spans="10:39" x14ac:dyDescent="0.15"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spans="17:32" x14ac:dyDescent="0.15"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spans="17:32" x14ac:dyDescent="0.15"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spans="17:32" x14ac:dyDescent="0.15"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spans="17:32" x14ac:dyDescent="0.15"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spans="17:32" x14ac:dyDescent="0.15"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spans="17:32" x14ac:dyDescent="0.15"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spans="17:32" x14ac:dyDescent="0.15"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spans="17:32" x14ac:dyDescent="0.15"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spans="17:32" x14ac:dyDescent="0.15"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spans="17:32" x14ac:dyDescent="0.15"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spans="17:32" x14ac:dyDescent="0.15"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  <row r="204" spans="17:32" x14ac:dyDescent="0.15"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spans="17:32" x14ac:dyDescent="0.15"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spans="17:32" x14ac:dyDescent="0.15"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spans="17:32" x14ac:dyDescent="0.15"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spans="17:32" x14ac:dyDescent="0.15"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</row>
    <row r="209" spans="17:32" x14ac:dyDescent="0.15"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spans="17:32" x14ac:dyDescent="0.15"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spans="17:32" x14ac:dyDescent="0.15"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spans="17:32" x14ac:dyDescent="0.15"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spans="17:32" x14ac:dyDescent="0.15"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</row>
    <row r="214" spans="17:32" x14ac:dyDescent="0.15"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spans="17:32" x14ac:dyDescent="0.15"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spans="17:32" x14ac:dyDescent="0.15"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spans="17:32" x14ac:dyDescent="0.15"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spans="17:32" x14ac:dyDescent="0.15"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spans="17:32" x14ac:dyDescent="0.15"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spans="17:32" x14ac:dyDescent="0.15"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spans="17:32" x14ac:dyDescent="0.15"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spans="17:32" x14ac:dyDescent="0.15"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spans="17:32" x14ac:dyDescent="0.15"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spans="17:32" x14ac:dyDescent="0.15"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spans="17:32" x14ac:dyDescent="0.15"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spans="17:32" x14ac:dyDescent="0.15"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spans="17:32" x14ac:dyDescent="0.15"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</row>
    <row r="228" spans="17:32" x14ac:dyDescent="0.15"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</row>
    <row r="229" spans="17:32" x14ac:dyDescent="0.15"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</row>
    <row r="230" spans="17:32" x14ac:dyDescent="0.15"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</row>
    <row r="231" spans="17:32" x14ac:dyDescent="0.15"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</row>
    <row r="232" spans="17:32" x14ac:dyDescent="0.15"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</row>
    <row r="233" spans="17:32" x14ac:dyDescent="0.15"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</row>
    <row r="234" spans="17:32" x14ac:dyDescent="0.15"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</row>
    <row r="235" spans="17:32" x14ac:dyDescent="0.15"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</row>
    <row r="236" spans="17:32" x14ac:dyDescent="0.15"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</row>
    <row r="237" spans="17:32" x14ac:dyDescent="0.15"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</row>
    <row r="238" spans="17:32" x14ac:dyDescent="0.15"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</row>
    <row r="239" spans="17:32" x14ac:dyDescent="0.15"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</row>
    <row r="240" spans="17:32" x14ac:dyDescent="0.15"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</row>
    <row r="241" spans="17:32" x14ac:dyDescent="0.15"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</row>
    <row r="242" spans="17:32" x14ac:dyDescent="0.15"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</row>
    <row r="243" spans="17:32" x14ac:dyDescent="0.15"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</row>
    <row r="244" spans="17:32" x14ac:dyDescent="0.15"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</row>
    <row r="245" spans="17:32" x14ac:dyDescent="0.15"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</row>
    <row r="246" spans="17:32" x14ac:dyDescent="0.15"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</row>
    <row r="247" spans="17:32" x14ac:dyDescent="0.15"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</row>
    <row r="248" spans="17:32" x14ac:dyDescent="0.15"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</row>
    <row r="249" spans="17:32" x14ac:dyDescent="0.15"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</row>
    <row r="250" spans="17:32" x14ac:dyDescent="0.15"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</row>
    <row r="251" spans="17:32" x14ac:dyDescent="0.15"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</row>
    <row r="252" spans="17:32" x14ac:dyDescent="0.15"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</row>
    <row r="253" spans="17:32" x14ac:dyDescent="0.15"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</row>
    <row r="254" spans="17:32" x14ac:dyDescent="0.15"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</row>
    <row r="255" spans="17:32" x14ac:dyDescent="0.15"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</row>
    <row r="256" spans="17:32" x14ac:dyDescent="0.15"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</row>
    <row r="257" spans="17:32" x14ac:dyDescent="0.15"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</row>
    <row r="258" spans="17:32" x14ac:dyDescent="0.15"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</row>
    <row r="259" spans="17:32" x14ac:dyDescent="0.15"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</row>
    <row r="260" spans="17:32" x14ac:dyDescent="0.15"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</row>
    <row r="261" spans="17:32" x14ac:dyDescent="0.15"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</row>
    <row r="262" spans="17:32" x14ac:dyDescent="0.15"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</row>
    <row r="263" spans="17:32" x14ac:dyDescent="0.15"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</row>
    <row r="264" spans="17:32" x14ac:dyDescent="0.15"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</row>
    <row r="265" spans="17:32" x14ac:dyDescent="0.15"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</row>
    <row r="266" spans="17:32" x14ac:dyDescent="0.15"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</row>
    <row r="267" spans="17:32" x14ac:dyDescent="0.15"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</row>
    <row r="268" spans="17:32" x14ac:dyDescent="0.15"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</row>
    <row r="269" spans="17:32" x14ac:dyDescent="0.15"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</row>
    <row r="270" spans="17:32" x14ac:dyDescent="0.15"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</row>
    <row r="271" spans="17:32" x14ac:dyDescent="0.15"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</row>
    <row r="272" spans="17:32" x14ac:dyDescent="0.15"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</row>
    <row r="273" spans="17:32" x14ac:dyDescent="0.15"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</row>
    <row r="274" spans="17:32" x14ac:dyDescent="0.15"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</row>
    <row r="275" spans="17:32" x14ac:dyDescent="0.15"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</row>
    <row r="276" spans="17:32" x14ac:dyDescent="0.15"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</row>
    <row r="277" spans="17:32" x14ac:dyDescent="0.15"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</row>
    <row r="278" spans="17:32" x14ac:dyDescent="0.15"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</row>
    <row r="279" spans="17:32" x14ac:dyDescent="0.15"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</row>
    <row r="280" spans="17:32" x14ac:dyDescent="0.15"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</row>
    <row r="281" spans="17:32" x14ac:dyDescent="0.15"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</row>
    <row r="282" spans="17:32" x14ac:dyDescent="0.15"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</row>
    <row r="283" spans="17:32" x14ac:dyDescent="0.15"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</row>
    <row r="284" spans="17:32" x14ac:dyDescent="0.15"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</row>
    <row r="285" spans="17:32" x14ac:dyDescent="0.15"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</row>
    <row r="286" spans="17:32" x14ac:dyDescent="0.15"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</row>
    <row r="287" spans="17:32" x14ac:dyDescent="0.15"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</row>
    <row r="288" spans="17:32" x14ac:dyDescent="0.15"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</row>
    <row r="289" spans="17:32" x14ac:dyDescent="0.15"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</row>
    <row r="290" spans="17:32" x14ac:dyDescent="0.15"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</row>
    <row r="291" spans="17:32" x14ac:dyDescent="0.15"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</row>
    <row r="292" spans="17:32" x14ac:dyDescent="0.15"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</row>
    <row r="293" spans="17:32" x14ac:dyDescent="0.15"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</row>
    <row r="294" spans="17:32" x14ac:dyDescent="0.15"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</row>
    <row r="295" spans="17:32" x14ac:dyDescent="0.15"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</row>
    <row r="296" spans="17:32" x14ac:dyDescent="0.15"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</row>
    <row r="297" spans="17:32" x14ac:dyDescent="0.15"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</row>
    <row r="298" spans="17:32" x14ac:dyDescent="0.15"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</row>
    <row r="299" spans="17:32" x14ac:dyDescent="0.15"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</row>
    <row r="300" spans="17:32" x14ac:dyDescent="0.15"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</row>
    <row r="301" spans="17:32" x14ac:dyDescent="0.15"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</row>
    <row r="302" spans="17:32" x14ac:dyDescent="0.15"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7:32" x14ac:dyDescent="0.15"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7:32" x14ac:dyDescent="0.15"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7:32" x14ac:dyDescent="0.15"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</row>
    <row r="306" spans="17:32" x14ac:dyDescent="0.15"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7:32" x14ac:dyDescent="0.15"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7:32" x14ac:dyDescent="0.15"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7:32" x14ac:dyDescent="0.15"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7:32" x14ac:dyDescent="0.15"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7:32" x14ac:dyDescent="0.15"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7:32" x14ac:dyDescent="0.15"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7:32" x14ac:dyDescent="0.15"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7:32" x14ac:dyDescent="0.15"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7:32" x14ac:dyDescent="0.15"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7:32" x14ac:dyDescent="0.15"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7:32" x14ac:dyDescent="0.15"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7:32" x14ac:dyDescent="0.15"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7:32" x14ac:dyDescent="0.15"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7:32" x14ac:dyDescent="0.15"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7:32" x14ac:dyDescent="0.15"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7:32" x14ac:dyDescent="0.15"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7:32" x14ac:dyDescent="0.15"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7:32" x14ac:dyDescent="0.15"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7:32" x14ac:dyDescent="0.15"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7:32" x14ac:dyDescent="0.15"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7:32" x14ac:dyDescent="0.15"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7:32" x14ac:dyDescent="0.15"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7:32" x14ac:dyDescent="0.15"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7:32" x14ac:dyDescent="0.15"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</row>
    <row r="331" spans="17:32" x14ac:dyDescent="0.15"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</row>
    <row r="332" spans="17:32" x14ac:dyDescent="0.15"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</row>
    <row r="333" spans="17:32" x14ac:dyDescent="0.15"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</row>
    <row r="334" spans="17:32" x14ac:dyDescent="0.15"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</row>
    <row r="335" spans="17:32" x14ac:dyDescent="0.15"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</row>
    <row r="336" spans="17:32" x14ac:dyDescent="0.15"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</row>
    <row r="337" spans="17:32" x14ac:dyDescent="0.15"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</row>
    <row r="338" spans="17:32" x14ac:dyDescent="0.15"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</row>
    <row r="339" spans="17:32" x14ac:dyDescent="0.15"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</row>
    <row r="340" spans="17:32" x14ac:dyDescent="0.15"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</row>
    <row r="341" spans="17:32" x14ac:dyDescent="0.15"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</row>
    <row r="342" spans="17:32" x14ac:dyDescent="0.15"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</row>
    <row r="343" spans="17:32" x14ac:dyDescent="0.15"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</row>
    <row r="344" spans="17:32" x14ac:dyDescent="0.15"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</row>
    <row r="345" spans="17:32" x14ac:dyDescent="0.15"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</row>
    <row r="346" spans="17:32" x14ac:dyDescent="0.15"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</row>
    <row r="347" spans="17:32" x14ac:dyDescent="0.15"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</row>
    <row r="348" spans="17:32" x14ac:dyDescent="0.15"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</row>
    <row r="349" spans="17:32" x14ac:dyDescent="0.15"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</row>
    <row r="350" spans="17:32" x14ac:dyDescent="0.15"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</row>
    <row r="351" spans="17:32" x14ac:dyDescent="0.15"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</row>
    <row r="352" spans="17:32" x14ac:dyDescent="0.15"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</row>
    <row r="353" spans="17:32" x14ac:dyDescent="0.15"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</row>
    <row r="354" spans="17:32" x14ac:dyDescent="0.15"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</row>
    <row r="355" spans="17:32" x14ac:dyDescent="0.15"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</row>
    <row r="356" spans="17:32" x14ac:dyDescent="0.15"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</row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activeCell="J13" sqref="J13"/>
    </sheetView>
  </sheetViews>
  <sheetFormatPr defaultRowHeight="15" x14ac:dyDescent="0.25"/>
  <cols>
    <col min="3" max="3" width="28.7109375" customWidth="1"/>
    <col min="4" max="4" width="16.5703125" customWidth="1"/>
    <col min="5" max="5" width="17.28515625" customWidth="1"/>
    <col min="6" max="6" width="19.140625" customWidth="1"/>
    <col min="7" max="7" width="21" customWidth="1"/>
    <col min="9" max="9" width="17.42578125" customWidth="1"/>
    <col min="10" max="10" width="20.28515625" customWidth="1"/>
    <col min="11" max="11" width="12.28515625" customWidth="1"/>
  </cols>
  <sheetData>
    <row r="1" spans="1:10" ht="15.75" thickBot="1" x14ac:dyDescent="0.3">
      <c r="A1" s="20"/>
      <c r="B1" s="20"/>
      <c r="C1" s="20"/>
      <c r="D1" s="20"/>
      <c r="E1" s="20"/>
      <c r="F1" s="20"/>
      <c r="G1" s="20"/>
      <c r="H1" s="20"/>
    </row>
    <row r="2" spans="1:10" ht="16.5" thickBot="1" x14ac:dyDescent="0.3">
      <c r="A2" s="207" t="s">
        <v>1</v>
      </c>
      <c r="B2" s="208"/>
      <c r="C2" s="208"/>
      <c r="D2" s="208"/>
      <c r="E2" s="209"/>
      <c r="F2" s="210" t="s">
        <v>306</v>
      </c>
      <c r="G2" s="211"/>
      <c r="H2" s="21"/>
    </row>
    <row r="3" spans="1:10" ht="45.75" customHeight="1" x14ac:dyDescent="0.25">
      <c r="A3" s="22" t="s">
        <v>304</v>
      </c>
      <c r="B3" s="212" t="s">
        <v>307</v>
      </c>
      <c r="C3" s="213"/>
      <c r="D3" s="214" t="s">
        <v>375</v>
      </c>
      <c r="E3" s="215"/>
      <c r="F3" s="216" t="s">
        <v>376</v>
      </c>
      <c r="G3" s="217"/>
      <c r="H3" s="21"/>
    </row>
    <row r="4" spans="1:10" x14ac:dyDescent="0.25">
      <c r="A4" s="23" t="s">
        <v>301</v>
      </c>
      <c r="B4" s="195" t="s">
        <v>308</v>
      </c>
      <c r="C4" s="196"/>
      <c r="D4" s="205">
        <f>SUM(D5:D7)</f>
        <v>1791690.3</v>
      </c>
      <c r="E4" s="206"/>
      <c r="F4" s="187">
        <f>+F5+F6+F7</f>
        <v>9286783.1699999999</v>
      </c>
      <c r="G4" s="188"/>
      <c r="H4" s="24"/>
      <c r="J4" s="82"/>
    </row>
    <row r="5" spans="1:10" ht="24" customHeight="1" x14ac:dyDescent="0.25">
      <c r="A5" s="25"/>
      <c r="B5" s="203" t="s">
        <v>309</v>
      </c>
      <c r="C5" s="204"/>
      <c r="D5" s="197">
        <v>1750201.03</v>
      </c>
      <c r="E5" s="198"/>
      <c r="F5" s="199">
        <v>8783855.5800000001</v>
      </c>
      <c r="G5" s="200"/>
      <c r="H5" s="24"/>
      <c r="I5" s="29"/>
      <c r="J5" s="82"/>
    </row>
    <row r="6" spans="1:10" x14ac:dyDescent="0.25">
      <c r="A6" s="25"/>
      <c r="B6" s="201" t="s">
        <v>310</v>
      </c>
      <c r="C6" s="202"/>
      <c r="D6" s="197">
        <v>500</v>
      </c>
      <c r="E6" s="198"/>
      <c r="F6" s="199">
        <v>0</v>
      </c>
      <c r="G6" s="200"/>
      <c r="H6" s="24"/>
      <c r="I6" s="29"/>
      <c r="J6" s="82"/>
    </row>
    <row r="7" spans="1:10" x14ac:dyDescent="0.25">
      <c r="A7" s="25"/>
      <c r="B7" s="201" t="s">
        <v>311</v>
      </c>
      <c r="C7" s="202"/>
      <c r="D7" s="197">
        <v>40989.269999999997</v>
      </c>
      <c r="E7" s="198"/>
      <c r="F7" s="199">
        <v>502927.59</v>
      </c>
      <c r="G7" s="200"/>
      <c r="H7" s="24"/>
      <c r="I7" s="29"/>
      <c r="J7" s="82"/>
    </row>
    <row r="8" spans="1:10" x14ac:dyDescent="0.25">
      <c r="A8" s="23" t="s">
        <v>179</v>
      </c>
      <c r="B8" s="195" t="s">
        <v>312</v>
      </c>
      <c r="C8" s="196"/>
      <c r="D8" s="197"/>
      <c r="E8" s="198"/>
      <c r="F8" s="199">
        <v>0</v>
      </c>
      <c r="G8" s="200"/>
      <c r="H8" s="24"/>
      <c r="J8" s="82"/>
    </row>
    <row r="9" spans="1:10" ht="25.5" customHeight="1" x14ac:dyDescent="0.25">
      <c r="A9" s="23" t="s">
        <v>163</v>
      </c>
      <c r="B9" s="183" t="s">
        <v>313</v>
      </c>
      <c r="C9" s="184"/>
      <c r="D9" s="185">
        <v>120962.78</v>
      </c>
      <c r="E9" s="186"/>
      <c r="F9" s="187">
        <v>0</v>
      </c>
      <c r="G9" s="188"/>
      <c r="H9" s="24"/>
      <c r="J9" s="82"/>
    </row>
    <row r="10" spans="1:10" x14ac:dyDescent="0.25">
      <c r="A10" s="23" t="s">
        <v>155</v>
      </c>
      <c r="B10" s="195" t="s">
        <v>314</v>
      </c>
      <c r="C10" s="196"/>
      <c r="D10" s="185">
        <v>11173.62</v>
      </c>
      <c r="E10" s="186"/>
      <c r="F10" s="187">
        <v>86783.37</v>
      </c>
      <c r="G10" s="188"/>
      <c r="H10" s="24"/>
      <c r="I10" s="29"/>
      <c r="J10" s="82"/>
    </row>
    <row r="11" spans="1:10" x14ac:dyDescent="0.25">
      <c r="A11" s="23" t="s">
        <v>139</v>
      </c>
      <c r="B11" s="195" t="s">
        <v>315</v>
      </c>
      <c r="C11" s="196"/>
      <c r="D11" s="185">
        <f>SUM(D12:D13)</f>
        <v>0</v>
      </c>
      <c r="E11" s="186"/>
      <c r="F11" s="187">
        <f>SUM(G12:G13)</f>
        <v>0</v>
      </c>
      <c r="G11" s="188"/>
      <c r="H11" s="24"/>
      <c r="J11" s="82"/>
    </row>
    <row r="12" spans="1:10" x14ac:dyDescent="0.25">
      <c r="A12" s="23" t="s">
        <v>316</v>
      </c>
      <c r="B12" s="195" t="s">
        <v>317</v>
      </c>
      <c r="C12" s="196"/>
      <c r="D12" s="197"/>
      <c r="E12" s="198"/>
      <c r="F12" s="199"/>
      <c r="G12" s="200"/>
      <c r="H12" s="24"/>
      <c r="J12" s="82"/>
    </row>
    <row r="13" spans="1:10" x14ac:dyDescent="0.25">
      <c r="A13" s="23" t="s">
        <v>318</v>
      </c>
      <c r="B13" s="195" t="s">
        <v>319</v>
      </c>
      <c r="C13" s="196"/>
      <c r="D13" s="197"/>
      <c r="E13" s="198"/>
      <c r="F13" s="199"/>
      <c r="G13" s="200"/>
      <c r="H13" s="24"/>
      <c r="J13" s="82"/>
    </row>
    <row r="14" spans="1:10" x14ac:dyDescent="0.25">
      <c r="A14" s="23" t="s">
        <v>320</v>
      </c>
      <c r="B14" s="195" t="s">
        <v>321</v>
      </c>
      <c r="C14" s="196"/>
      <c r="D14" s="185">
        <v>265153.21999999997</v>
      </c>
      <c r="E14" s="186"/>
      <c r="F14" s="187">
        <v>0</v>
      </c>
      <c r="G14" s="188"/>
      <c r="H14" s="24"/>
      <c r="I14" s="29"/>
      <c r="J14" s="82"/>
    </row>
    <row r="15" spans="1:10" ht="24.75" customHeight="1" x14ac:dyDescent="0.25">
      <c r="A15" s="23" t="s">
        <v>322</v>
      </c>
      <c r="B15" s="183" t="s">
        <v>323</v>
      </c>
      <c r="C15" s="184"/>
      <c r="D15" s="185">
        <v>0</v>
      </c>
      <c r="E15" s="186"/>
      <c r="F15" s="187"/>
      <c r="G15" s="188"/>
      <c r="H15" s="24"/>
      <c r="J15" s="82"/>
    </row>
    <row r="16" spans="1:10" ht="15.75" thickBot="1" x14ac:dyDescent="0.3">
      <c r="A16" s="26" t="s">
        <v>324</v>
      </c>
      <c r="B16" s="189" t="s">
        <v>325</v>
      </c>
      <c r="C16" s="190"/>
      <c r="D16" s="191">
        <v>1500</v>
      </c>
      <c r="E16" s="192"/>
      <c r="F16" s="193"/>
      <c r="G16" s="194"/>
      <c r="H16" s="24"/>
      <c r="I16" s="29"/>
      <c r="J16" s="82"/>
    </row>
    <row r="17" spans="1:11" ht="15.75" thickBot="1" x14ac:dyDescent="0.3">
      <c r="A17" s="170" t="s">
        <v>326</v>
      </c>
      <c r="B17" s="171"/>
      <c r="C17" s="172"/>
      <c r="D17" s="173">
        <f>D4+D8+D9+D10+D11+D14+D15+D16</f>
        <v>2190479.92</v>
      </c>
      <c r="E17" s="174"/>
      <c r="F17" s="175">
        <f>F4+F8+F9+F10+F11+F14+F15+F16</f>
        <v>9373566.5399999991</v>
      </c>
      <c r="G17" s="176"/>
      <c r="H17" s="21"/>
      <c r="I17" s="29"/>
      <c r="J17" s="82"/>
    </row>
    <row r="18" spans="1:11" ht="15.75" thickBot="1" x14ac:dyDescent="0.3">
      <c r="A18" s="21"/>
      <c r="B18" s="21"/>
      <c r="C18" s="21"/>
      <c r="D18" s="24"/>
      <c r="E18" s="24"/>
      <c r="F18" s="24"/>
      <c r="G18" s="24"/>
      <c r="H18" s="21"/>
      <c r="I18" s="29"/>
      <c r="J18" s="82"/>
    </row>
    <row r="19" spans="1:11" x14ac:dyDescent="0.25">
      <c r="A19" s="177" t="s">
        <v>327</v>
      </c>
      <c r="B19" s="178"/>
      <c r="C19" s="178"/>
      <c r="D19" s="179" t="s">
        <v>328</v>
      </c>
      <c r="E19" s="179" t="s">
        <v>377</v>
      </c>
      <c r="F19" s="179" t="s">
        <v>378</v>
      </c>
      <c r="G19" s="181" t="s">
        <v>379</v>
      </c>
      <c r="H19" s="21"/>
      <c r="J19" s="82"/>
    </row>
    <row r="20" spans="1:11" ht="52.5" customHeight="1" x14ac:dyDescent="0.25">
      <c r="A20" s="161"/>
      <c r="B20" s="162"/>
      <c r="C20" s="162"/>
      <c r="D20" s="180"/>
      <c r="E20" s="180"/>
      <c r="F20" s="180"/>
      <c r="G20" s="182"/>
      <c r="H20" s="21"/>
      <c r="I20" s="29"/>
      <c r="J20" s="82"/>
    </row>
    <row r="21" spans="1:11" x14ac:dyDescent="0.25">
      <c r="A21" s="161" t="s">
        <v>329</v>
      </c>
      <c r="B21" s="162"/>
      <c r="C21" s="162"/>
      <c r="D21" s="120">
        <v>6980756.5899999999</v>
      </c>
      <c r="E21" s="121">
        <f>1535766.45+98568.3+6143.07+98568.3+6143.07+98568.3+6143.07+98568.3+6143.07+98568.3+6143.07+104711.37+104711.37+104711.37+104711.37+104711.37+104711.37+104711.37+104711.37+104711.37+104711.37</f>
        <v>3106437.0000000014</v>
      </c>
      <c r="F21" s="121">
        <f>1640477.82+98568.3+6143.07+69807.58+69807.58+98568.3+6143.07+69807.58+98568.3+6143.07+104711.37+104711.37+104711.37+104711.37+104711.37+3145.35+16627.45+65822.75+104711.37+104711.37+32916.99+104711.37+83986.74+48710.79+104711.37+83328.37</f>
        <v>3440975.4400000023</v>
      </c>
      <c r="G21" s="122">
        <f>E21-F21</f>
        <v>-334538.44000000088</v>
      </c>
      <c r="H21" s="21"/>
      <c r="I21" s="29"/>
      <c r="J21" s="42"/>
      <c r="K21" s="42"/>
    </row>
    <row r="22" spans="1:11" x14ac:dyDescent="0.25">
      <c r="A22" s="163" t="s">
        <v>330</v>
      </c>
      <c r="B22" s="164"/>
      <c r="C22" s="164"/>
      <c r="D22" s="165">
        <v>2487624.42</v>
      </c>
      <c r="E22" s="166">
        <f>547277.35+37314.36+43457.43-6143.07+37314.36+37314.36+37314.36+37314.36+37314.36+37314.36+37314.36+37314.36+37314.36+37314.36+37314.36+37314.36+37314.36</f>
        <v>1106992.75</v>
      </c>
      <c r="F22" s="166">
        <f>584591.71+43457.43-6143.07+24876.24+24876.24+37314.36+24876.24+37314.36+37314.36+655.02+37314.36+37314.36+37314.36+37314.36+37314.36+37314.36+65530.41+37314.36+33056.74-48710.79+37314.36+20111.78</f>
        <v>1177635.9100000001</v>
      </c>
      <c r="G22" s="168">
        <f>E22-F22</f>
        <v>-70643.160000000149</v>
      </c>
      <c r="H22" s="21"/>
      <c r="I22" s="7"/>
      <c r="J22" s="42"/>
      <c r="K22" s="157"/>
    </row>
    <row r="23" spans="1:11" ht="25.5" customHeight="1" x14ac:dyDescent="0.25">
      <c r="A23" s="163"/>
      <c r="B23" s="164"/>
      <c r="C23" s="164"/>
      <c r="D23" s="165"/>
      <c r="E23" s="167"/>
      <c r="F23" s="167"/>
      <c r="G23" s="169"/>
      <c r="H23" s="21"/>
      <c r="I23" s="63"/>
      <c r="J23" s="149"/>
      <c r="K23" s="157"/>
    </row>
    <row r="24" spans="1:11" ht="15.75" thickBot="1" x14ac:dyDescent="0.3">
      <c r="A24" s="158" t="s">
        <v>106</v>
      </c>
      <c r="B24" s="159"/>
      <c r="C24" s="159"/>
      <c r="D24" s="96">
        <f>SUM(D21:D23)</f>
        <v>9468381.0099999998</v>
      </c>
      <c r="E24" s="96">
        <f>SUM(E21:E23)</f>
        <v>4213429.7500000019</v>
      </c>
      <c r="F24" s="96">
        <f>SUM(F21:F23)</f>
        <v>4618611.3500000024</v>
      </c>
      <c r="G24" s="97">
        <f>SUM(G21:G23)</f>
        <v>-405181.60000000102</v>
      </c>
      <c r="H24" s="21"/>
      <c r="I24" s="43"/>
      <c r="J24" s="43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9"/>
      <c r="J25" s="29"/>
    </row>
    <row r="26" spans="1:11" x14ac:dyDescent="0.25">
      <c r="A26" s="19"/>
      <c r="B26" s="19"/>
      <c r="C26" s="27"/>
      <c r="D26" s="49" t="s">
        <v>331</v>
      </c>
      <c r="E26" s="50"/>
      <c r="F26" s="50"/>
      <c r="G26" s="28"/>
      <c r="H26" s="28"/>
      <c r="I26" s="43"/>
      <c r="J26" s="43"/>
      <c r="K26" s="43"/>
    </row>
    <row r="27" spans="1:11" x14ac:dyDescent="0.25">
      <c r="A27" s="19"/>
      <c r="B27" s="19"/>
      <c r="C27" s="19"/>
      <c r="D27" s="28"/>
      <c r="E27" s="160" t="s">
        <v>332</v>
      </c>
      <c r="F27" s="160"/>
      <c r="G27" s="28"/>
      <c r="H27" s="19"/>
      <c r="I27" s="1"/>
      <c r="J27" s="43"/>
      <c r="K27" s="43"/>
    </row>
    <row r="28" spans="1:11" x14ac:dyDescent="0.25">
      <c r="A28" s="19"/>
      <c r="B28" s="19"/>
      <c r="C28" s="19"/>
      <c r="D28" s="19"/>
      <c r="E28" s="19"/>
      <c r="F28" s="19"/>
      <c r="G28" s="19"/>
      <c r="H28" s="19"/>
      <c r="I28" s="43"/>
    </row>
    <row r="29" spans="1:11" x14ac:dyDescent="0.25">
      <c r="A29" s="19"/>
      <c r="B29" s="19"/>
      <c r="C29" s="19"/>
      <c r="D29" s="19"/>
      <c r="E29" s="31"/>
      <c r="F29" s="19"/>
      <c r="G29" s="19"/>
      <c r="H29" s="19"/>
    </row>
    <row r="30" spans="1:11" x14ac:dyDescent="0.25">
      <c r="A30" s="19"/>
      <c r="B30" s="19"/>
      <c r="C30" s="19"/>
      <c r="D30" s="44"/>
      <c r="E30" s="44"/>
      <c r="F30" s="44"/>
      <c r="G30" s="30"/>
      <c r="H30" s="19"/>
    </row>
    <row r="31" spans="1:11" x14ac:dyDescent="0.25">
      <c r="A31" s="19"/>
      <c r="B31" s="19"/>
      <c r="C31" s="19"/>
      <c r="D31" s="19"/>
      <c r="E31" s="19"/>
      <c r="F31" s="44"/>
      <c r="G31" s="30"/>
      <c r="H31" s="19"/>
    </row>
    <row r="32" spans="1:11" x14ac:dyDescent="0.25">
      <c r="A32" s="19"/>
      <c r="B32" s="19"/>
      <c r="C32" s="19"/>
      <c r="D32" s="19"/>
      <c r="E32" s="19"/>
      <c r="F32" s="44"/>
      <c r="G32" s="19"/>
      <c r="H32" s="19"/>
    </row>
    <row r="33" spans="1:8" x14ac:dyDescent="0.25">
      <c r="A33" s="19"/>
      <c r="B33" s="19"/>
      <c r="C33" s="19"/>
      <c r="D33" s="19"/>
      <c r="E33" s="19"/>
      <c r="F33" s="19"/>
      <c r="G33" s="19"/>
      <c r="H33" s="19"/>
    </row>
    <row r="34" spans="1:8" x14ac:dyDescent="0.25">
      <c r="A34" s="19"/>
      <c r="B34" s="19"/>
      <c r="C34" s="19"/>
      <c r="D34" s="19"/>
      <c r="E34" s="19"/>
      <c r="F34" s="19"/>
      <c r="G34" s="19"/>
      <c r="H34" s="19"/>
    </row>
    <row r="35" spans="1:8" x14ac:dyDescent="0.25">
      <c r="A35" s="19"/>
      <c r="B35" s="19"/>
      <c r="C35" s="19"/>
      <c r="D35" s="19"/>
      <c r="E35" s="19"/>
      <c r="F35" s="30"/>
      <c r="G35" s="19"/>
      <c r="H35" s="19"/>
    </row>
    <row r="36" spans="1:8" x14ac:dyDescent="0.25">
      <c r="A36" s="19"/>
      <c r="B36" s="19"/>
      <c r="C36" s="19"/>
      <c r="D36" s="19"/>
      <c r="E36" s="19"/>
      <c r="F36" s="19"/>
      <c r="G36" s="19"/>
      <c r="H36" s="19"/>
    </row>
    <row r="37" spans="1:8" x14ac:dyDescent="0.25">
      <c r="A37" s="19"/>
      <c r="B37" s="19"/>
      <c r="C37" s="19"/>
      <c r="D37" s="19"/>
      <c r="E37" s="19"/>
      <c r="F37" s="19"/>
      <c r="G37" s="19"/>
      <c r="H37" s="19"/>
    </row>
  </sheetData>
  <mergeCells count="61">
    <mergeCell ref="B4:C4"/>
    <mergeCell ref="D4:E4"/>
    <mergeCell ref="F4:G4"/>
    <mergeCell ref="A2:E2"/>
    <mergeCell ref="F2:G2"/>
    <mergeCell ref="B3:C3"/>
    <mergeCell ref="D3:E3"/>
    <mergeCell ref="F3:G3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A17:C17"/>
    <mergeCell ref="D17:E17"/>
    <mergeCell ref="F17:G17"/>
    <mergeCell ref="A19:C20"/>
    <mergeCell ref="D19:D20"/>
    <mergeCell ref="E19:E20"/>
    <mergeCell ref="F19:F20"/>
    <mergeCell ref="G19:G20"/>
    <mergeCell ref="K22:K23"/>
    <mergeCell ref="A24:C24"/>
    <mergeCell ref="E27:F27"/>
    <mergeCell ref="A21:C21"/>
    <mergeCell ref="A22:C23"/>
    <mergeCell ref="D22:D23"/>
    <mergeCell ref="E22:E23"/>
    <mergeCell ref="F22:F23"/>
    <mergeCell ref="G22:G23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topLeftCell="A4" workbookViewId="0">
      <selection activeCell="N17" sqref="N17"/>
    </sheetView>
  </sheetViews>
  <sheetFormatPr defaultRowHeight="15" x14ac:dyDescent="0.25"/>
  <cols>
    <col min="1" max="1" width="5.5703125" customWidth="1"/>
    <col min="2" max="2" width="17.5703125" customWidth="1"/>
    <col min="3" max="3" width="13.140625" customWidth="1"/>
    <col min="4" max="4" width="12.5703125" customWidth="1"/>
    <col min="5" max="5" width="13.28515625" customWidth="1"/>
    <col min="6" max="6" width="12.7109375" customWidth="1"/>
    <col min="7" max="7" width="11.42578125" customWidth="1"/>
    <col min="8" max="8" width="12.5703125" customWidth="1"/>
    <col min="9" max="9" width="11.140625" customWidth="1"/>
    <col min="10" max="10" width="11.42578125" customWidth="1"/>
    <col min="12" max="12" width="17.85546875" customWidth="1"/>
    <col min="13" max="13" width="11.7109375" bestFit="1" customWidth="1"/>
  </cols>
  <sheetData>
    <row r="1" spans="1:13" ht="15.75" thickBot="1" x14ac:dyDescent="0.3">
      <c r="A1" s="223" t="s">
        <v>1</v>
      </c>
      <c r="B1" s="224"/>
      <c r="C1" s="224"/>
      <c r="D1" s="224"/>
      <c r="E1" s="224"/>
      <c r="F1" s="224"/>
      <c r="G1" s="224"/>
      <c r="H1" s="225"/>
      <c r="I1" s="223" t="s">
        <v>333</v>
      </c>
      <c r="J1" s="225"/>
    </row>
    <row r="2" spans="1:13" ht="24.75" customHeight="1" x14ac:dyDescent="0.25">
      <c r="A2" s="226" t="s">
        <v>304</v>
      </c>
      <c r="B2" s="228" t="s">
        <v>334</v>
      </c>
      <c r="C2" s="230" t="s">
        <v>383</v>
      </c>
      <c r="D2" s="231"/>
      <c r="E2" s="231"/>
      <c r="F2" s="232"/>
      <c r="G2" s="230" t="s">
        <v>382</v>
      </c>
      <c r="H2" s="231"/>
      <c r="I2" s="231"/>
      <c r="J2" s="232"/>
    </row>
    <row r="3" spans="1:13" ht="58.5" customHeight="1" thickBot="1" x14ac:dyDescent="0.3">
      <c r="A3" s="227"/>
      <c r="B3" s="229"/>
      <c r="C3" s="90" t="s">
        <v>335</v>
      </c>
      <c r="D3" s="90" t="s">
        <v>336</v>
      </c>
      <c r="E3" s="90" t="s">
        <v>337</v>
      </c>
      <c r="F3" s="91" t="s">
        <v>338</v>
      </c>
      <c r="G3" s="92" t="s">
        <v>335</v>
      </c>
      <c r="H3" s="90" t="s">
        <v>336</v>
      </c>
      <c r="I3" s="90" t="s">
        <v>337</v>
      </c>
      <c r="J3" s="93" t="s">
        <v>338</v>
      </c>
    </row>
    <row r="4" spans="1:13" ht="15.75" thickTop="1" x14ac:dyDescent="0.25">
      <c r="A4" s="51" t="s">
        <v>301</v>
      </c>
      <c r="B4" s="52" t="s">
        <v>339</v>
      </c>
      <c r="C4" s="123">
        <f>+C5+C8</f>
        <v>1000000</v>
      </c>
      <c r="D4" s="123">
        <f>+D5+D8</f>
        <v>1000000</v>
      </c>
      <c r="E4" s="123">
        <f>SUM(E5)</f>
        <v>751411</v>
      </c>
      <c r="F4" s="123">
        <f>+F5+F8</f>
        <v>248589</v>
      </c>
      <c r="G4" s="124">
        <f>G5+G8</f>
        <v>779200</v>
      </c>
      <c r="H4" s="123">
        <f>H5+H8</f>
        <v>790621.04</v>
      </c>
      <c r="I4" s="123">
        <f>I5+I8</f>
        <v>682393.26</v>
      </c>
      <c r="J4" s="125">
        <f>J5+J8</f>
        <v>108227.78</v>
      </c>
    </row>
    <row r="5" spans="1:13" x14ac:dyDescent="0.25">
      <c r="A5" s="53">
        <v>1</v>
      </c>
      <c r="B5" s="54" t="s">
        <v>340</v>
      </c>
      <c r="C5" s="126">
        <f>SUM(C6:C7)</f>
        <v>1000000</v>
      </c>
      <c r="D5" s="126">
        <f>SUM(D6:D7)</f>
        <v>1000000</v>
      </c>
      <c r="E5" s="126">
        <f>SUM(E6:E7)</f>
        <v>751411</v>
      </c>
      <c r="F5" s="126">
        <f t="shared" ref="F5:J5" si="0">SUM(F6:F7)</f>
        <v>248589</v>
      </c>
      <c r="G5" s="127">
        <f t="shared" si="0"/>
        <v>779200</v>
      </c>
      <c r="H5" s="126">
        <f t="shared" si="0"/>
        <v>790621.04</v>
      </c>
      <c r="I5" s="126">
        <f t="shared" si="0"/>
        <v>682393.26</v>
      </c>
      <c r="J5" s="128">
        <f t="shared" si="0"/>
        <v>108227.78</v>
      </c>
    </row>
    <row r="6" spans="1:13" x14ac:dyDescent="0.25">
      <c r="A6" s="55" t="s">
        <v>341</v>
      </c>
      <c r="B6" s="56" t="s">
        <v>342</v>
      </c>
      <c r="C6" s="129"/>
      <c r="D6" s="129"/>
      <c r="E6" s="129"/>
      <c r="F6" s="129"/>
      <c r="G6" s="130"/>
      <c r="H6" s="129"/>
      <c r="I6" s="129"/>
      <c r="J6" s="131"/>
      <c r="L6" s="29"/>
    </row>
    <row r="7" spans="1:13" x14ac:dyDescent="0.25">
      <c r="A7" s="55" t="s">
        <v>343</v>
      </c>
      <c r="B7" s="56" t="s">
        <v>344</v>
      </c>
      <c r="C7" s="129">
        <v>1000000</v>
      </c>
      <c r="D7" s="129">
        <v>1000000</v>
      </c>
      <c r="E7" s="129">
        <f>+C7-F7</f>
        <v>751411</v>
      </c>
      <c r="F7" s="129">
        <v>248589</v>
      </c>
      <c r="G7" s="130">
        <f>750000+29200</f>
        <v>779200</v>
      </c>
      <c r="H7" s="129">
        <f>757717.23+32903.81</f>
        <v>790621.04</v>
      </c>
      <c r="I7" s="129">
        <f>+H7-J7</f>
        <v>682393.26</v>
      </c>
      <c r="J7" s="131">
        <f>95033.17+13194.61</f>
        <v>108227.78</v>
      </c>
      <c r="L7" s="99"/>
    </row>
    <row r="8" spans="1:13" x14ac:dyDescent="0.25">
      <c r="A8" s="53">
        <v>2</v>
      </c>
      <c r="B8" s="54" t="s">
        <v>345</v>
      </c>
      <c r="C8" s="126"/>
      <c r="D8" s="126"/>
      <c r="E8" s="126" t="s">
        <v>346</v>
      </c>
      <c r="F8" s="126"/>
      <c r="G8" s="130"/>
      <c r="H8" s="126"/>
      <c r="I8" s="126"/>
      <c r="J8" s="132"/>
      <c r="L8" s="29"/>
      <c r="M8" s="29"/>
    </row>
    <row r="9" spans="1:13" x14ac:dyDescent="0.25">
      <c r="A9" s="57" t="s">
        <v>179</v>
      </c>
      <c r="B9" s="54" t="s">
        <v>347</v>
      </c>
      <c r="C9" s="126">
        <f>C10+C13</f>
        <v>0</v>
      </c>
      <c r="D9" s="126">
        <f>D10+D13</f>
        <v>0</v>
      </c>
      <c r="E9" s="126">
        <f>E10+E13</f>
        <v>0</v>
      </c>
      <c r="F9" s="126">
        <f>F10+F13</f>
        <v>0</v>
      </c>
      <c r="G9" s="127">
        <f>SUM(G10+G13)</f>
        <v>0</v>
      </c>
      <c r="H9" s="126">
        <f>SUM(H10+H13)</f>
        <v>0</v>
      </c>
      <c r="I9" s="126">
        <f>SUM(I10+I13)</f>
        <v>0</v>
      </c>
      <c r="J9" s="128">
        <f>SUM(J10+J13)</f>
        <v>0</v>
      </c>
      <c r="L9" s="29"/>
    </row>
    <row r="10" spans="1:13" x14ac:dyDescent="0.25">
      <c r="A10" s="53">
        <v>1</v>
      </c>
      <c r="B10" s="54" t="s">
        <v>348</v>
      </c>
      <c r="C10" s="126">
        <f t="shared" ref="C10:J10" si="1">SUM(C11:C12)</f>
        <v>0</v>
      </c>
      <c r="D10" s="126">
        <f t="shared" si="1"/>
        <v>0</v>
      </c>
      <c r="E10" s="126">
        <f t="shared" si="1"/>
        <v>0</v>
      </c>
      <c r="F10" s="126">
        <f t="shared" si="1"/>
        <v>0</v>
      </c>
      <c r="G10" s="127">
        <f t="shared" si="1"/>
        <v>0</v>
      </c>
      <c r="H10" s="126">
        <f t="shared" si="1"/>
        <v>0</v>
      </c>
      <c r="I10" s="126">
        <f t="shared" si="1"/>
        <v>0</v>
      </c>
      <c r="J10" s="128">
        <f t="shared" si="1"/>
        <v>0</v>
      </c>
      <c r="L10" s="29"/>
    </row>
    <row r="11" spans="1:13" x14ac:dyDescent="0.25">
      <c r="A11" s="55" t="s">
        <v>341</v>
      </c>
      <c r="B11" s="56" t="s">
        <v>342</v>
      </c>
      <c r="C11" s="129"/>
      <c r="D11" s="129"/>
      <c r="E11" s="129"/>
      <c r="F11" s="129"/>
      <c r="G11" s="130"/>
      <c r="H11" s="129"/>
      <c r="I11" s="129"/>
      <c r="J11" s="131"/>
      <c r="L11" s="29"/>
      <c r="M11" s="29"/>
    </row>
    <row r="12" spans="1:13" x14ac:dyDescent="0.25">
      <c r="A12" s="55" t="s">
        <v>343</v>
      </c>
      <c r="B12" s="56" t="s">
        <v>344</v>
      </c>
      <c r="C12" s="129"/>
      <c r="D12" s="129"/>
      <c r="E12" s="129"/>
      <c r="F12" s="129"/>
      <c r="G12" s="130"/>
      <c r="H12" s="129"/>
      <c r="I12" s="129"/>
      <c r="J12" s="131"/>
      <c r="K12" t="s">
        <v>353</v>
      </c>
      <c r="L12" s="29"/>
    </row>
    <row r="13" spans="1:13" ht="15.75" thickBot="1" x14ac:dyDescent="0.3">
      <c r="A13" s="53">
        <v>2</v>
      </c>
      <c r="B13" s="54" t="s">
        <v>345</v>
      </c>
      <c r="C13" s="126"/>
      <c r="D13" s="126"/>
      <c r="E13" s="126"/>
      <c r="F13" s="126"/>
      <c r="G13" s="127"/>
      <c r="H13" s="126"/>
      <c r="I13" s="126"/>
      <c r="J13" s="132"/>
      <c r="L13" s="29"/>
    </row>
    <row r="14" spans="1:13" ht="16.5" thickTop="1" thickBot="1" x14ac:dyDescent="0.3">
      <c r="A14" s="219" t="s">
        <v>349</v>
      </c>
      <c r="B14" s="220"/>
      <c r="C14" s="133">
        <f t="shared" ref="C14:J14" si="2">C4+C9</f>
        <v>1000000</v>
      </c>
      <c r="D14" s="133">
        <f t="shared" si="2"/>
        <v>1000000</v>
      </c>
      <c r="E14" s="133">
        <f t="shared" si="2"/>
        <v>751411</v>
      </c>
      <c r="F14" s="133">
        <f t="shared" si="2"/>
        <v>248589</v>
      </c>
      <c r="G14" s="134">
        <f t="shared" si="2"/>
        <v>779200</v>
      </c>
      <c r="H14" s="135">
        <f t="shared" si="2"/>
        <v>790621.04</v>
      </c>
      <c r="I14" s="135">
        <f t="shared" si="2"/>
        <v>682393.26</v>
      </c>
      <c r="J14" s="136">
        <f t="shared" si="2"/>
        <v>108227.78</v>
      </c>
      <c r="L14" s="29"/>
    </row>
    <row r="15" spans="1:13" ht="15.75" thickTop="1" x14ac:dyDescent="0.25">
      <c r="A15" s="51" t="s">
        <v>163</v>
      </c>
      <c r="B15" s="52" t="s">
        <v>350</v>
      </c>
      <c r="C15" s="137">
        <v>600000</v>
      </c>
      <c r="D15" s="137">
        <v>600000</v>
      </c>
      <c r="E15" s="137">
        <f>92851.23+13189</f>
        <v>106040.23</v>
      </c>
      <c r="F15" s="137">
        <f>95033.17*0.8</f>
        <v>76026.536000000007</v>
      </c>
      <c r="G15" s="138"/>
      <c r="H15" s="137"/>
      <c r="I15" s="137"/>
      <c r="J15" s="139"/>
      <c r="L15" s="29"/>
    </row>
    <row r="16" spans="1:13" ht="15.75" thickBot="1" x14ac:dyDescent="0.3">
      <c r="A16" s="58" t="s">
        <v>155</v>
      </c>
      <c r="B16" s="59" t="s">
        <v>351</v>
      </c>
      <c r="C16" s="140"/>
      <c r="D16" s="140"/>
      <c r="E16" s="140"/>
      <c r="F16" s="140"/>
      <c r="G16" s="141"/>
      <c r="H16" s="142"/>
      <c r="I16" s="142"/>
      <c r="J16" s="143"/>
      <c r="L16" s="29"/>
    </row>
    <row r="17" spans="1:12" ht="15.75" thickBot="1" x14ac:dyDescent="0.3">
      <c r="A17" s="221" t="s">
        <v>352</v>
      </c>
      <c r="B17" s="222"/>
      <c r="C17" s="144">
        <f>C15+C16</f>
        <v>600000</v>
      </c>
      <c r="D17" s="144">
        <f>D15+D16</f>
        <v>600000</v>
      </c>
      <c r="E17" s="144">
        <f>E15+E16</f>
        <v>106040.23</v>
      </c>
      <c r="F17" s="144">
        <f>F15+F16</f>
        <v>76026.536000000007</v>
      </c>
      <c r="G17" s="145">
        <f>SUM(G15:G16)</f>
        <v>0</v>
      </c>
      <c r="H17" s="145">
        <f>SUM(H15:H16)</f>
        <v>0</v>
      </c>
      <c r="I17" s="145">
        <f>SUM(I15:I16)</f>
        <v>0</v>
      </c>
      <c r="J17" s="146">
        <f>SUM(J15:J16)</f>
        <v>0</v>
      </c>
      <c r="L17" s="29"/>
    </row>
    <row r="18" spans="1:12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2" x14ac:dyDescent="0.25">
      <c r="A19" s="28"/>
      <c r="B19" s="28"/>
      <c r="C19" s="100"/>
      <c r="D19" s="28"/>
      <c r="E19" s="28"/>
      <c r="F19" s="101"/>
      <c r="G19" s="28"/>
      <c r="H19" s="28"/>
      <c r="I19" s="28"/>
      <c r="J19" s="28"/>
    </row>
    <row r="20" spans="1:12" x14ac:dyDescent="0.25">
      <c r="A20" s="28"/>
      <c r="B20" s="28"/>
      <c r="C20" s="28"/>
      <c r="D20" s="28"/>
      <c r="E20" s="102" t="s">
        <v>331</v>
      </c>
      <c r="F20" s="28"/>
      <c r="G20" s="103"/>
      <c r="H20" s="103"/>
      <c r="I20" s="103"/>
      <c r="J20" s="28"/>
    </row>
    <row r="21" spans="1:12" x14ac:dyDescent="0.25">
      <c r="A21" s="28"/>
      <c r="B21" s="28"/>
      <c r="C21" s="28"/>
      <c r="D21" s="28"/>
      <c r="E21" s="28"/>
      <c r="F21" s="28"/>
      <c r="G21" s="218" t="s">
        <v>332</v>
      </c>
      <c r="H21" s="218"/>
      <c r="I21" s="218"/>
      <c r="J21" s="28"/>
    </row>
    <row r="22" spans="1:1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</sheetData>
  <mergeCells count="9">
    <mergeCell ref="G21:I21"/>
    <mergeCell ref="A14:B14"/>
    <mergeCell ref="A17:B17"/>
    <mergeCell ref="A1:H1"/>
    <mergeCell ref="I1:J1"/>
    <mergeCell ref="A2:A3"/>
    <mergeCell ref="B2:B3"/>
    <mergeCell ref="C2:F2"/>
    <mergeCell ref="G2:J2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topLeftCell="A3" workbookViewId="0">
      <selection activeCell="G12" sqref="G12"/>
    </sheetView>
  </sheetViews>
  <sheetFormatPr defaultRowHeight="15" x14ac:dyDescent="0.25"/>
  <cols>
    <col min="2" max="2" width="48.7109375" customWidth="1"/>
    <col min="3" max="3" width="20.85546875" customWidth="1"/>
  </cols>
  <sheetData>
    <row r="1" spans="1:3" ht="15.75" thickBot="1" x14ac:dyDescent="0.3"/>
    <row r="2" spans="1:3" ht="15" customHeight="1" x14ac:dyDescent="0.25">
      <c r="A2" s="233" t="s">
        <v>384</v>
      </c>
      <c r="B2" s="234"/>
      <c r="C2" s="235"/>
    </row>
    <row r="3" spans="1:3" ht="15.75" thickBot="1" x14ac:dyDescent="0.3">
      <c r="A3" s="236"/>
      <c r="B3" s="237"/>
      <c r="C3" s="238"/>
    </row>
    <row r="4" spans="1:3" ht="15.75" thickBot="1" x14ac:dyDescent="0.3">
      <c r="A4" s="28"/>
      <c r="B4" s="28"/>
      <c r="C4" s="28"/>
    </row>
    <row r="5" spans="1:3" x14ac:dyDescent="0.25">
      <c r="A5" s="38" t="s">
        <v>304</v>
      </c>
      <c r="B5" s="34" t="s">
        <v>354</v>
      </c>
      <c r="C5" s="35" t="s">
        <v>355</v>
      </c>
    </row>
    <row r="6" spans="1:3" x14ac:dyDescent="0.25">
      <c r="A6" s="39">
        <v>1</v>
      </c>
      <c r="B6" s="32" t="s">
        <v>356</v>
      </c>
      <c r="C6" s="147">
        <v>313</v>
      </c>
    </row>
    <row r="7" spans="1:3" x14ac:dyDescent="0.25">
      <c r="A7" s="39">
        <v>2</v>
      </c>
      <c r="B7" s="32" t="s">
        <v>357</v>
      </c>
      <c r="C7" s="147">
        <v>31</v>
      </c>
    </row>
    <row r="8" spans="1:3" x14ac:dyDescent="0.25">
      <c r="A8" s="39">
        <v>3</v>
      </c>
      <c r="B8" s="32" t="s">
        <v>358</v>
      </c>
      <c r="C8" s="147">
        <v>26</v>
      </c>
    </row>
    <row r="9" spans="1:3" x14ac:dyDescent="0.25">
      <c r="A9" s="39">
        <v>4</v>
      </c>
      <c r="B9" s="32" t="s">
        <v>359</v>
      </c>
      <c r="C9" s="147">
        <v>49</v>
      </c>
    </row>
    <row r="10" spans="1:3" x14ac:dyDescent="0.25">
      <c r="A10" s="39">
        <v>5</v>
      </c>
      <c r="B10" s="32" t="s">
        <v>360</v>
      </c>
      <c r="C10" s="147">
        <v>88</v>
      </c>
    </row>
    <row r="11" spans="1:3" x14ac:dyDescent="0.25">
      <c r="A11" s="39">
        <v>6</v>
      </c>
      <c r="B11" s="32" t="s">
        <v>361</v>
      </c>
      <c r="C11" s="147">
        <v>16</v>
      </c>
    </row>
    <row r="12" spans="1:3" x14ac:dyDescent="0.25">
      <c r="A12" s="39">
        <v>7</v>
      </c>
      <c r="B12" s="32" t="s">
        <v>362</v>
      </c>
      <c r="C12" s="147">
        <v>25</v>
      </c>
    </row>
    <row r="13" spans="1:3" x14ac:dyDescent="0.25">
      <c r="A13" s="39">
        <v>8</v>
      </c>
      <c r="B13" s="32" t="s">
        <v>363</v>
      </c>
      <c r="C13" s="147">
        <v>9</v>
      </c>
    </row>
    <row r="14" spans="1:3" x14ac:dyDescent="0.25">
      <c r="A14" s="39">
        <v>9</v>
      </c>
      <c r="B14" s="32" t="s">
        <v>364</v>
      </c>
      <c r="C14" s="147">
        <v>8</v>
      </c>
    </row>
    <row r="15" spans="1:3" x14ac:dyDescent="0.25">
      <c r="A15" s="39">
        <v>10</v>
      </c>
      <c r="B15" s="32" t="s">
        <v>365</v>
      </c>
      <c r="C15" s="148">
        <v>146</v>
      </c>
    </row>
    <row r="16" spans="1:3" x14ac:dyDescent="0.25">
      <c r="A16" s="39">
        <v>11</v>
      </c>
      <c r="B16" s="32" t="s">
        <v>366</v>
      </c>
      <c r="C16" s="147">
        <v>67</v>
      </c>
    </row>
    <row r="17" spans="1:3" x14ac:dyDescent="0.25">
      <c r="A17" s="39">
        <v>12</v>
      </c>
      <c r="B17" s="32" t="s">
        <v>367</v>
      </c>
      <c r="C17" s="147">
        <v>12</v>
      </c>
    </row>
    <row r="18" spans="1:3" ht="29.25" customHeight="1" x14ac:dyDescent="0.25">
      <c r="A18" s="39">
        <v>13</v>
      </c>
      <c r="B18" s="33" t="s">
        <v>368</v>
      </c>
      <c r="C18" s="147">
        <v>30</v>
      </c>
    </row>
    <row r="19" spans="1:3" ht="29.25" customHeight="1" x14ac:dyDescent="0.25">
      <c r="A19" s="40">
        <v>14</v>
      </c>
      <c r="B19" s="41" t="s">
        <v>369</v>
      </c>
      <c r="C19" s="147">
        <v>3</v>
      </c>
    </row>
    <row r="20" spans="1:3" ht="15.75" thickBot="1" x14ac:dyDescent="0.3">
      <c r="A20" s="36"/>
      <c r="B20" s="37" t="s">
        <v>106</v>
      </c>
      <c r="C20" s="98">
        <f>SUM(C6:C19)</f>
        <v>823</v>
      </c>
    </row>
  </sheetData>
  <mergeCells count="1">
    <mergeCell ref="A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POP</vt:lpstr>
      <vt:lpstr>PIR</vt:lpstr>
      <vt:lpstr>Neizmirene obaveze</vt:lpstr>
      <vt:lpstr>Zaduženja</vt:lpstr>
      <vt:lpstr>Broj zaposlenih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2026-04-21T06:14:22Z</cp:lastPrinted>
  <dcterms:created xsi:type="dcterms:W3CDTF">2022-03-10T10:46:30Z</dcterms:created>
  <dcterms:modified xsi:type="dcterms:W3CDTF">2026-06-04T11:36:38Z</dcterms:modified>
</cp:coreProperties>
</file>