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Izvještaj za  III kvartal 2025\"/>
    </mc:Choice>
  </mc:AlternateContent>
  <xr:revisionPtr revIDLastSave="0" documentId="13_ncr:1_{44C88BB3-18FA-47C7-BF71-F31C6F8A39BE}" xr6:coauthVersionLast="47" xr6:coauthVersionMax="47" xr10:uidLastSave="{00000000-0000-0000-0000-000000000000}"/>
  <bookViews>
    <workbookView xWindow="-120" yWindow="-120" windowWidth="20730" windowHeight="11160" activeTab="4" xr2:uid="{00000000-000D-0000-FFFF-FFFF00000000}"/>
  </bookViews>
  <sheets>
    <sheet name="POP" sheetId="1" r:id="rId1"/>
    <sheet name="PIR" sheetId="2" r:id="rId2"/>
    <sheet name="Neizmirene obaveze" sheetId="3" r:id="rId3"/>
    <sheet name="Zaduženja" sheetId="4" r:id="rId4"/>
    <sheet name="Broj zaposlenih" sheetId="5" r:id="rId5"/>
  </sheets>
  <calcPr calcId="181029"/>
</workbook>
</file>

<file path=xl/calcChain.xml><?xml version="1.0" encoding="utf-8"?>
<calcChain xmlns="http://schemas.openxmlformats.org/spreadsheetml/2006/main">
  <c r="C74" i="2" l="1"/>
  <c r="C61" i="2"/>
  <c r="E7" i="4" l="1"/>
  <c r="F15" i="4"/>
  <c r="J7" i="4"/>
  <c r="H7" i="4"/>
  <c r="C140" i="2"/>
  <c r="C139" i="2"/>
  <c r="C138" i="2"/>
  <c r="F22" i="3"/>
  <c r="F21" i="3"/>
  <c r="G22" i="3"/>
  <c r="E22" i="3" l="1"/>
  <c r="E21" i="3"/>
  <c r="C144" i="2"/>
  <c r="C142" i="2"/>
  <c r="E51" i="2" l="1"/>
  <c r="E33" i="2"/>
  <c r="E29" i="2" s="1"/>
  <c r="E54" i="1"/>
  <c r="F54" i="1" s="1"/>
  <c r="D54" i="1"/>
  <c r="C54" i="1"/>
  <c r="F53" i="1"/>
  <c r="E52" i="1"/>
  <c r="D52" i="1"/>
  <c r="C52" i="1"/>
  <c r="F51" i="1"/>
  <c r="F50" i="1"/>
  <c r="F49" i="1"/>
  <c r="E48" i="1"/>
  <c r="D48" i="1"/>
  <c r="C48" i="1"/>
  <c r="C44" i="1" s="1"/>
  <c r="F47" i="1"/>
  <c r="F46" i="1"/>
  <c r="E45" i="1"/>
  <c r="D45" i="1"/>
  <c r="D44" i="1" s="1"/>
  <c r="C45" i="1"/>
  <c r="E44" i="1"/>
  <c r="F43" i="1"/>
  <c r="F42" i="1"/>
  <c r="F41" i="1"/>
  <c r="E41" i="1"/>
  <c r="D41" i="1"/>
  <c r="C41" i="1"/>
  <c r="F39" i="1"/>
  <c r="E38" i="1"/>
  <c r="D38" i="1"/>
  <c r="C38" i="1"/>
  <c r="D37" i="1"/>
  <c r="C37" i="1"/>
  <c r="F36" i="1"/>
  <c r="F35" i="1"/>
  <c r="F34" i="1"/>
  <c r="F33" i="1"/>
  <c r="E32" i="1"/>
  <c r="D32" i="1"/>
  <c r="C32" i="1"/>
  <c r="F31" i="1"/>
  <c r="F30" i="1"/>
  <c r="F27" i="1"/>
  <c r="F25" i="1"/>
  <c r="F24" i="1"/>
  <c r="F23" i="1"/>
  <c r="E22" i="1"/>
  <c r="D22" i="1"/>
  <c r="D16" i="1" s="1"/>
  <c r="C22" i="1"/>
  <c r="F20" i="1"/>
  <c r="F19" i="1"/>
  <c r="F18" i="1"/>
  <c r="C17" i="1"/>
  <c r="F17" i="1" s="1"/>
  <c r="E16" i="1"/>
  <c r="F16" i="1" s="1"/>
  <c r="C16" i="1"/>
  <c r="F14" i="1"/>
  <c r="F13" i="1"/>
  <c r="E12" i="1"/>
  <c r="D12" i="1"/>
  <c r="C12" i="1"/>
  <c r="C6" i="1" s="1"/>
  <c r="F11" i="1"/>
  <c r="F10" i="1"/>
  <c r="F9" i="1"/>
  <c r="F8" i="1"/>
  <c r="E7" i="1"/>
  <c r="D7" i="1"/>
  <c r="C7" i="1"/>
  <c r="E6" i="1"/>
  <c r="C58" i="1" l="1"/>
  <c r="F12" i="1"/>
  <c r="F32" i="1"/>
  <c r="F44" i="1"/>
  <c r="F48" i="1"/>
  <c r="F52" i="1"/>
  <c r="F7" i="1"/>
  <c r="F22" i="1"/>
  <c r="F38" i="1"/>
  <c r="F45" i="1"/>
  <c r="D6" i="1"/>
  <c r="D58" i="1" s="1"/>
  <c r="E37" i="1"/>
  <c r="F37" i="1" s="1"/>
  <c r="F6" i="1"/>
  <c r="E58" i="1" l="1"/>
  <c r="F58" i="1" s="1"/>
  <c r="C155" i="2"/>
  <c r="C153" i="2"/>
  <c r="C150" i="2"/>
  <c r="C146" i="2"/>
  <c r="C145" i="2"/>
  <c r="C137" i="2"/>
  <c r="C136" i="2"/>
  <c r="C158" i="2" s="1"/>
  <c r="F99" i="2"/>
  <c r="D98" i="2"/>
  <c r="E98" i="2"/>
  <c r="F98" i="2" s="1"/>
  <c r="C98" i="2"/>
  <c r="F97" i="2"/>
  <c r="E96" i="2"/>
  <c r="F96" i="2" s="1"/>
  <c r="D96" i="2"/>
  <c r="D89" i="2" s="1"/>
  <c r="C96" i="2"/>
  <c r="F91" i="2"/>
  <c r="E90" i="2"/>
  <c r="F90" i="2" s="1"/>
  <c r="D90" i="2"/>
  <c r="C90" i="2"/>
  <c r="C89" i="2"/>
  <c r="F83" i="2"/>
  <c r="F82" i="2"/>
  <c r="F81" i="2"/>
  <c r="F79" i="2"/>
  <c r="F78" i="2"/>
  <c r="F76" i="2"/>
  <c r="E76" i="2"/>
  <c r="D76" i="2"/>
  <c r="C76" i="2"/>
  <c r="F75" i="2"/>
  <c r="E75" i="2"/>
  <c r="D75" i="2"/>
  <c r="C75" i="2"/>
  <c r="F74" i="2"/>
  <c r="E71" i="2"/>
  <c r="D71" i="2"/>
  <c r="C71" i="2"/>
  <c r="F71" i="2" s="1"/>
  <c r="F70" i="2"/>
  <c r="F69" i="2"/>
  <c r="F67" i="2"/>
  <c r="F66" i="2"/>
  <c r="F65" i="2"/>
  <c r="F64" i="2"/>
  <c r="F63" i="2"/>
  <c r="E61" i="2"/>
  <c r="D61" i="2"/>
  <c r="E60" i="2"/>
  <c r="C60" i="2"/>
  <c r="C58" i="2"/>
  <c r="F58" i="2" s="1"/>
  <c r="F56" i="2"/>
  <c r="F55" i="2"/>
  <c r="F54" i="2"/>
  <c r="F53" i="2"/>
  <c r="F52" i="2"/>
  <c r="D51" i="2"/>
  <c r="F50" i="2"/>
  <c r="F47" i="2"/>
  <c r="F46" i="2"/>
  <c r="E46" i="2"/>
  <c r="D46" i="2"/>
  <c r="C46" i="2"/>
  <c r="F44" i="2"/>
  <c r="E43" i="2"/>
  <c r="F43" i="2" s="1"/>
  <c r="D43" i="2"/>
  <c r="C43" i="2"/>
  <c r="E39" i="2"/>
  <c r="F39" i="2" s="1"/>
  <c r="D39" i="2"/>
  <c r="C39" i="2"/>
  <c r="F38" i="2"/>
  <c r="F36" i="2"/>
  <c r="F35" i="2"/>
  <c r="F33" i="2"/>
  <c r="F32" i="2"/>
  <c r="F31" i="2"/>
  <c r="F30" i="2"/>
  <c r="D29" i="2"/>
  <c r="C29" i="2"/>
  <c r="F29" i="2" s="1"/>
  <c r="F28" i="2"/>
  <c r="F27" i="2"/>
  <c r="F26" i="2"/>
  <c r="F25" i="2"/>
  <c r="F23" i="2"/>
  <c r="E22" i="2"/>
  <c r="F22" i="2" s="1"/>
  <c r="D22" i="2"/>
  <c r="C22" i="2"/>
  <c r="F21" i="2"/>
  <c r="F20" i="2"/>
  <c r="F19" i="2"/>
  <c r="E14" i="2"/>
  <c r="F14" i="2" s="1"/>
  <c r="D14" i="2"/>
  <c r="C14" i="2"/>
  <c r="F13" i="2"/>
  <c r="F12" i="2"/>
  <c r="F11" i="2"/>
  <c r="F10" i="2"/>
  <c r="F9" i="2"/>
  <c r="E8" i="2"/>
  <c r="D8" i="2"/>
  <c r="C8" i="2"/>
  <c r="F60" i="2" l="1"/>
  <c r="F61" i="2"/>
  <c r="F8" i="2"/>
  <c r="D60" i="2"/>
  <c r="D7" i="2"/>
  <c r="D6" i="2" s="1"/>
  <c r="D102" i="2" s="1"/>
  <c r="E89" i="2"/>
  <c r="F89" i="2" s="1"/>
  <c r="E7" i="2"/>
  <c r="E6" i="2" s="1"/>
  <c r="C51" i="2"/>
  <c r="E102" i="2" l="1"/>
  <c r="F51" i="2"/>
  <c r="C7" i="2"/>
  <c r="C6" i="2" l="1"/>
  <c r="F7" i="2"/>
  <c r="C102" i="2" l="1"/>
  <c r="F102" i="2" s="1"/>
  <c r="F6" i="2"/>
  <c r="E15" i="4" l="1"/>
  <c r="G7" i="4"/>
  <c r="I7" i="4"/>
  <c r="C20" i="5" l="1"/>
  <c r="F24" i="3" l="1"/>
  <c r="F17" i="4" l="1"/>
  <c r="D4" i="3" l="1"/>
  <c r="F4" i="3" l="1"/>
  <c r="F17" i="3" s="1"/>
  <c r="J17" i="4" l="1"/>
  <c r="I17" i="4"/>
  <c r="H17" i="4"/>
  <c r="G17" i="4"/>
  <c r="E17" i="4"/>
  <c r="D17" i="4"/>
  <c r="C17" i="4"/>
  <c r="J10" i="4"/>
  <c r="I10" i="4"/>
  <c r="H10" i="4"/>
  <c r="G10" i="4"/>
  <c r="F10" i="4"/>
  <c r="E10" i="4"/>
  <c r="D10" i="4"/>
  <c r="C10" i="4"/>
  <c r="J9" i="4"/>
  <c r="I9" i="4"/>
  <c r="H9" i="4"/>
  <c r="G9" i="4"/>
  <c r="F9" i="4"/>
  <c r="E9" i="4"/>
  <c r="D9" i="4"/>
  <c r="C9" i="4"/>
  <c r="J5" i="4"/>
  <c r="J4" i="4" s="1"/>
  <c r="J14" i="4" s="1"/>
  <c r="I5" i="4"/>
  <c r="H5" i="4"/>
  <c r="G5" i="4"/>
  <c r="G4" i="4" s="1"/>
  <c r="G14" i="4" s="1"/>
  <c r="E5" i="4"/>
  <c r="E4" i="4" s="1"/>
  <c r="D5" i="4"/>
  <c r="C5" i="4"/>
  <c r="C4" i="4" s="1"/>
  <c r="I4" i="4"/>
  <c r="I14" i="4" s="1"/>
  <c r="H4" i="4"/>
  <c r="H14" i="4" s="1"/>
  <c r="D4" i="4"/>
  <c r="D14" i="4" s="1"/>
  <c r="E24" i="3"/>
  <c r="D24" i="3"/>
  <c r="G21" i="3"/>
  <c r="F11" i="3"/>
  <c r="D11" i="3"/>
  <c r="D17" i="3" s="1"/>
  <c r="C14" i="4" l="1"/>
  <c r="F5" i="4"/>
  <c r="F4" i="4" s="1"/>
  <c r="F14" i="4" s="1"/>
  <c r="E14" i="4"/>
  <c r="G2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korisnik</author>
  </authors>
  <commentList>
    <comment ref="H7" authorId="0" shapeId="0" xr:uid="{456274D7-D86D-4768-B1F6-1D8A2A3BD30E}">
      <text>
        <r>
          <rPr>
            <b/>
            <sz val="9"/>
            <color indexed="81"/>
            <rFont val="Tahoma"/>
            <family val="2"/>
          </rPr>
          <t>korisnik:</t>
        </r>
        <r>
          <rPr>
            <sz val="9"/>
            <color indexed="81"/>
            <rFont val="Tahoma"/>
            <family val="2"/>
          </rPr>
          <t xml:space="preserve">
povučeni iznos od 750.000,00 € i 7.717,73 € interkalarna kamata koja je pripisana glavnici kredita
</t>
        </r>
      </text>
    </comment>
  </commentList>
</comments>
</file>

<file path=xl/sharedStrings.xml><?xml version="1.0" encoding="utf-8"?>
<sst xmlns="http://schemas.openxmlformats.org/spreadsheetml/2006/main" count="452" uniqueCount="386">
  <si>
    <t>OBRAZAC POP</t>
  </si>
  <si>
    <t>OPŠTINA BERANE</t>
  </si>
  <si>
    <t>PRIHODI</t>
  </si>
  <si>
    <t>Godišnji plan budžeta</t>
  </si>
  <si>
    <t>% ostvarenja godišnjeg budžeta</t>
  </si>
  <si>
    <t>71</t>
  </si>
  <si>
    <t>Tekući prihodi</t>
  </si>
  <si>
    <t>711</t>
  </si>
  <si>
    <t>Porezi</t>
  </si>
  <si>
    <t>7111</t>
  </si>
  <si>
    <t>Porez na dohodak fizičkih lica</t>
  </si>
  <si>
    <t>71131</t>
  </si>
  <si>
    <t>Porez na nepokretnosti</t>
  </si>
  <si>
    <t>71132</t>
  </si>
  <si>
    <t>Porez na promet nepokretnosti</t>
  </si>
  <si>
    <t>71175</t>
  </si>
  <si>
    <t>Prirez porezu na dohodak fizičkih lica</t>
  </si>
  <si>
    <t>713</t>
  </si>
  <si>
    <t>Takse</t>
  </si>
  <si>
    <t>71312</t>
  </si>
  <si>
    <t>Lokalne administrativne takse</t>
  </si>
  <si>
    <t>7135</t>
  </si>
  <si>
    <t>Lokalne komunalne takse</t>
  </si>
  <si>
    <t>7136</t>
  </si>
  <si>
    <t>Ostale takse</t>
  </si>
  <si>
    <t>714</t>
  </si>
  <si>
    <t>Naknade</t>
  </si>
  <si>
    <t>7141</t>
  </si>
  <si>
    <t>Naknada za korišćenje dobara od opšteg interesa</t>
  </si>
  <si>
    <t>71411</t>
  </si>
  <si>
    <t>Naknada za korišćenje voda</t>
  </si>
  <si>
    <t>71412</t>
  </si>
  <si>
    <t>Naknada za izvađeni materijal iz vodotoka</t>
  </si>
  <si>
    <t>71413</t>
  </si>
  <si>
    <t>Naknada za zaštitu voda od zagađivanja</t>
  </si>
  <si>
    <t>71414</t>
  </si>
  <si>
    <t>Naknada za korišćenje rezultata geoloških istraživanja</t>
  </si>
  <si>
    <t>7142</t>
  </si>
  <si>
    <t>Naknade za korišćenje prirodnih dobara</t>
  </si>
  <si>
    <t>71421</t>
  </si>
  <si>
    <t>Naknada za korišćenje šuma</t>
  </si>
  <si>
    <t>71423</t>
  </si>
  <si>
    <t>Naknada za korišćenje rudnog bogatstva</t>
  </si>
  <si>
    <t>71424</t>
  </si>
  <si>
    <t>Naknada za korišćenje mineralnih sirovina</t>
  </si>
  <si>
    <t>7146</t>
  </si>
  <si>
    <t>Naknada za komunalno opremanje građevinskog zemljišta</t>
  </si>
  <si>
    <t>7147</t>
  </si>
  <si>
    <t>Naknade za izgradnju i održavanje lokalnih puteva</t>
  </si>
  <si>
    <t>7148</t>
  </si>
  <si>
    <t>Naknada za puteve</t>
  </si>
  <si>
    <t>7149</t>
  </si>
  <si>
    <t>Ostale naknade</t>
  </si>
  <si>
    <t>715</t>
  </si>
  <si>
    <t>Ostali prihodi</t>
  </si>
  <si>
    <t>7151</t>
  </si>
  <si>
    <t>Prihodi od kapitala(od kamata, akcija i udjela u dobiti i rente)</t>
  </si>
  <si>
    <t>7152</t>
  </si>
  <si>
    <t>Novčane kazne i oduzete imovinske koristi</t>
  </si>
  <si>
    <t>7153</t>
  </si>
  <si>
    <t>Prihodi koje organi ostvaruju vršenjem svoje djelatnosti</t>
  </si>
  <si>
    <t>7155</t>
  </si>
  <si>
    <t>72</t>
  </si>
  <si>
    <t>Primici od prodaje imovine</t>
  </si>
  <si>
    <t>721</t>
  </si>
  <si>
    <t>Primici od prodaje nefinansijske imovine</t>
  </si>
  <si>
    <t>7211</t>
  </si>
  <si>
    <t>Prodaja nepokretnosti</t>
  </si>
  <si>
    <t>722</t>
  </si>
  <si>
    <t>Primici od prodaje finansijske imovine</t>
  </si>
  <si>
    <t>73</t>
  </si>
  <si>
    <t>Primici od otplate kredita i sredstva prenesena iz prethodne godine</t>
  </si>
  <si>
    <t>731</t>
  </si>
  <si>
    <t>Primici od otplate kredita</t>
  </si>
  <si>
    <t>732</t>
  </si>
  <si>
    <t>Sredstva prenesena iz prethodne godine</t>
  </si>
  <si>
    <t>74</t>
  </si>
  <si>
    <t>Donacije i transferi</t>
  </si>
  <si>
    <t>741</t>
  </si>
  <si>
    <t>Donacije</t>
  </si>
  <si>
    <t>7411</t>
  </si>
  <si>
    <t>Tekuće donacije</t>
  </si>
  <si>
    <t>7412</t>
  </si>
  <si>
    <t>Kapitalne donacije</t>
  </si>
  <si>
    <t>742</t>
  </si>
  <si>
    <t>Transferi</t>
  </si>
  <si>
    <t>7421</t>
  </si>
  <si>
    <t>Transferi od budžeta Države</t>
  </si>
  <si>
    <t>7425</t>
  </si>
  <si>
    <t>Transferi od Zavoda za zapošljavanje Crne Gore</t>
  </si>
  <si>
    <t>7426</t>
  </si>
  <si>
    <t>Transferi od Egalizacionog fonda</t>
  </si>
  <si>
    <t>75</t>
  </si>
  <si>
    <t>Pozajmice i krediti</t>
  </si>
  <si>
    <t>751</t>
  </si>
  <si>
    <t>7511</t>
  </si>
  <si>
    <t>Pozajmice i krediti od domaćih izvora</t>
  </si>
  <si>
    <t>7512</t>
  </si>
  <si>
    <t>Pozajmice i krediti od inostranih izvora</t>
  </si>
  <si>
    <t>7</t>
  </si>
  <si>
    <t>UKUPNI PRIHODI (71 + 72 + 73 + 74 + 75)</t>
  </si>
  <si>
    <t>Naknada za korišćenje luke - nautički turizam</t>
  </si>
  <si>
    <t>71464</t>
  </si>
  <si>
    <t>Naknada za izgradnju javnih garaža</t>
  </si>
  <si>
    <t>75111</t>
  </si>
  <si>
    <t>75112</t>
  </si>
  <si>
    <t>Pozajmice i krediti od domaćih finansijskih institucija</t>
  </si>
  <si>
    <t>Pozajmice i krediti od drugih nivoa vlasti</t>
  </si>
  <si>
    <t>UKUPNO:</t>
  </si>
  <si>
    <t>Otplata dugova</t>
  </si>
  <si>
    <t>Kapitalni izdaci</t>
  </si>
  <si>
    <t>Ostali transferi</t>
  </si>
  <si>
    <t>Transferi institucijama, pojedincima, nevladinom i javnom sektoru</t>
  </si>
  <si>
    <t>Transferi za socijalnu zaštitu</t>
  </si>
  <si>
    <t xml:space="preserve">       Izdaci po osnovu troškova sudskih postupaka</t>
  </si>
  <si>
    <t>Ostali izdaci</t>
  </si>
  <si>
    <t>Subvencije</t>
  </si>
  <si>
    <t>Renta</t>
  </si>
  <si>
    <t>Kamate</t>
  </si>
  <si>
    <t>Rashodi za tekuće održavanje</t>
  </si>
  <si>
    <t>Rashodi za usluge</t>
  </si>
  <si>
    <t>Rashodi za materijal</t>
  </si>
  <si>
    <t>Ostala lična primanja</t>
  </si>
  <si>
    <t xml:space="preserve">    Reprogram Poreskog duga po Protokolu</t>
  </si>
  <si>
    <t xml:space="preserve">    Opštinski prirez</t>
  </si>
  <si>
    <t xml:space="preserve">    Doprinosi na teret poslodavca</t>
  </si>
  <si>
    <t xml:space="preserve">    Doprinosi na teret zaposlenog</t>
  </si>
  <si>
    <t xml:space="preserve">    Porez na zarade</t>
  </si>
  <si>
    <t xml:space="preserve">    Neto zarade</t>
  </si>
  <si>
    <t>Bruto zarade i doprinosi na teret poslodavca</t>
  </si>
  <si>
    <t>Otplata obaveza iz prethodnog perioda - analitika</t>
  </si>
  <si>
    <t>Napomena uz izvještaj: analitički pregled izdatka 463 - Otplata obaveza iz prethodnog perioda</t>
  </si>
  <si>
    <t>UKUPNI RASHODI (I+II+III+IV+V)</t>
  </si>
  <si>
    <t/>
  </si>
  <si>
    <t>Ostale rezerve</t>
  </si>
  <si>
    <t>473</t>
  </si>
  <si>
    <t>Stalna budžetska rezerva</t>
  </si>
  <si>
    <t>472</t>
  </si>
  <si>
    <t>Tekuća budžetska rezerva</t>
  </si>
  <si>
    <t>471</t>
  </si>
  <si>
    <t>Rezerve</t>
  </si>
  <si>
    <t>V</t>
  </si>
  <si>
    <t>Otplata obaveza iz prethodnog perioda</t>
  </si>
  <si>
    <t>463-0</t>
  </si>
  <si>
    <t>463</t>
  </si>
  <si>
    <t>Otplata garancija u inostranstvu</t>
  </si>
  <si>
    <t>462-2</t>
  </si>
  <si>
    <t>Otplata garancija u zemlji</t>
  </si>
  <si>
    <t>462-1</t>
  </si>
  <si>
    <t>Otplata garancija</t>
  </si>
  <si>
    <t>462</t>
  </si>
  <si>
    <t>Otplata hartija od vrijednosti i kredita nerezidentima</t>
  </si>
  <si>
    <t>461-2</t>
  </si>
  <si>
    <t>Otplata hartija od vrijednosti i kredita rezidentima</t>
  </si>
  <si>
    <t>461-1</t>
  </si>
  <si>
    <t>Otplata duga</t>
  </si>
  <si>
    <t>461</t>
  </si>
  <si>
    <t>IV</t>
  </si>
  <si>
    <t>Pozajmice i krediti pojedincima</t>
  </si>
  <si>
    <t>451-3</t>
  </si>
  <si>
    <t>Pozajmice i krediti finansijskim institucijama</t>
  </si>
  <si>
    <t>451-2</t>
  </si>
  <si>
    <t>Pozajmice i krediti nefinansijskim institucijama</t>
  </si>
  <si>
    <t>451-1</t>
  </si>
  <si>
    <t>451</t>
  </si>
  <si>
    <t>III</t>
  </si>
  <si>
    <t>Ostali kapitalni izdaci</t>
  </si>
  <si>
    <t>441-9</t>
  </si>
  <si>
    <t>Investiciono održavanje</t>
  </si>
  <si>
    <t>441-6</t>
  </si>
  <si>
    <t>Izdaci za opremu</t>
  </si>
  <si>
    <t>441-5</t>
  </si>
  <si>
    <t>Izdaci za uređenje zemljišta</t>
  </si>
  <si>
    <t>441-4</t>
  </si>
  <si>
    <t>Izdaci za građevinske objekte</t>
  </si>
  <si>
    <t>441-3</t>
  </si>
  <si>
    <t>Izdaci za lokalnu infrastrukturu</t>
  </si>
  <si>
    <t>441-2</t>
  </si>
  <si>
    <t>Izdaci za infrastrukturu od opšteg značaja</t>
  </si>
  <si>
    <t>441-1</t>
  </si>
  <si>
    <t>441</t>
  </si>
  <si>
    <t>II</t>
  </si>
  <si>
    <t>Transferi javnim preduzećima</t>
  </si>
  <si>
    <t>432-6</t>
  </si>
  <si>
    <t>Transferi budžetu Države</t>
  </si>
  <si>
    <t>432-5</t>
  </si>
  <si>
    <t>Transferi opštinama</t>
  </si>
  <si>
    <t>432-4</t>
  </si>
  <si>
    <t>432</t>
  </si>
  <si>
    <t>Ostali transferi institucijama</t>
  </si>
  <si>
    <t>431-9</t>
  </si>
  <si>
    <t>Ostali transferi pojedincima</t>
  </si>
  <si>
    <t>431-8</t>
  </si>
  <si>
    <t>Transferi za lična primanja pripravnika</t>
  </si>
  <si>
    <t>431-7</t>
  </si>
  <si>
    <t>Transferi za jednokratne socijalne pomoći</t>
  </si>
  <si>
    <t>431-6</t>
  </si>
  <si>
    <t>Transferi političkim partijama , strankama i udruženjima</t>
  </si>
  <si>
    <t>431-5</t>
  </si>
  <si>
    <t>Transferi nevladinim organizacijama</t>
  </si>
  <si>
    <t>431-4</t>
  </si>
  <si>
    <t>Transferi institucijama kulture i sporta</t>
  </si>
  <si>
    <t>431-3</t>
  </si>
  <si>
    <t>Transferi obrazovanju</t>
  </si>
  <si>
    <t>431-2</t>
  </si>
  <si>
    <t>Transferi za zdravstvenu zaštitu</t>
  </si>
  <si>
    <t>431-1</t>
  </si>
  <si>
    <t>431</t>
  </si>
  <si>
    <t>43</t>
  </si>
  <si>
    <t>42</t>
  </si>
  <si>
    <t>Ostalo</t>
  </si>
  <si>
    <t>419-9</t>
  </si>
  <si>
    <t>419-8</t>
  </si>
  <si>
    <t>Komunalne naknade</t>
  </si>
  <si>
    <t>419-6</t>
  </si>
  <si>
    <t>Osiguranje</t>
  </si>
  <si>
    <t>419-4</t>
  </si>
  <si>
    <t>Izrada i održavanje softvera</t>
  </si>
  <si>
    <t>419-3</t>
  </si>
  <si>
    <t>Izdaci po osnovu troškova sudskih postupaka</t>
  </si>
  <si>
    <t>419-2</t>
  </si>
  <si>
    <t>Izdaci po osnovu isplate ugovora o djelu</t>
  </si>
  <si>
    <t>419-1</t>
  </si>
  <si>
    <t>419</t>
  </si>
  <si>
    <t>418</t>
  </si>
  <si>
    <t>Zakup zemljišta</t>
  </si>
  <si>
    <t>417-3</t>
  </si>
  <si>
    <t>Zakup opreme</t>
  </si>
  <si>
    <t>417-2</t>
  </si>
  <si>
    <t>Zakup objekata</t>
  </si>
  <si>
    <t>417-1</t>
  </si>
  <si>
    <t>417</t>
  </si>
  <si>
    <t>Kamate nerezidentima</t>
  </si>
  <si>
    <t>416-2</t>
  </si>
  <si>
    <t>Kamate rezidentima</t>
  </si>
  <si>
    <t>416-1</t>
  </si>
  <si>
    <t>416</t>
  </si>
  <si>
    <t>Tekuće održavanje opreme</t>
  </si>
  <si>
    <t>415-3</t>
  </si>
  <si>
    <t>Tekuće održavanje građevinskih objekata</t>
  </si>
  <si>
    <t>415-2</t>
  </si>
  <si>
    <t>Tekuće održavanje javne infrastrukture</t>
  </si>
  <si>
    <t>415-1</t>
  </si>
  <si>
    <t>415</t>
  </si>
  <si>
    <t>Ostale usluge</t>
  </si>
  <si>
    <t>414-9</t>
  </si>
  <si>
    <t>Usluge stručnog usavršavanja</t>
  </si>
  <si>
    <t>414-8</t>
  </si>
  <si>
    <t>Konsultantske usluge, projekti i studije</t>
  </si>
  <si>
    <t>414-7</t>
  </si>
  <si>
    <t>Advokatske, notarske i pravne usluge</t>
  </si>
  <si>
    <t>414-6</t>
  </si>
  <si>
    <t>Usluge prevoza</t>
  </si>
  <si>
    <t>414-5</t>
  </si>
  <si>
    <t>Bankarske usluge i negativne kursne razlike</t>
  </si>
  <si>
    <t>414-4</t>
  </si>
  <si>
    <t>Komunikacione usluge</t>
  </si>
  <si>
    <t>414-3</t>
  </si>
  <si>
    <t>Reprezentacija</t>
  </si>
  <si>
    <t>414-2</t>
  </si>
  <si>
    <t>Službena putovanja</t>
  </si>
  <si>
    <t>414-1</t>
  </si>
  <si>
    <t>414</t>
  </si>
  <si>
    <t>Ostali rashodi za materijal</t>
  </si>
  <si>
    <t>413-9</t>
  </si>
  <si>
    <t>Rashodi za gorivo</t>
  </si>
  <si>
    <t>413-5</t>
  </si>
  <si>
    <t>Rashodi za energiju</t>
  </si>
  <si>
    <t>413-4</t>
  </si>
  <si>
    <t>Materijal za posebne namjene</t>
  </si>
  <si>
    <t>413-3</t>
  </si>
  <si>
    <t>Materijal za zdravstvenu zaštitu</t>
  </si>
  <si>
    <t>413-2</t>
  </si>
  <si>
    <t>Administrativni materijal</t>
  </si>
  <si>
    <t>413-1</t>
  </si>
  <si>
    <t>413</t>
  </si>
  <si>
    <t>412-7</t>
  </si>
  <si>
    <t>Naknada skupštinskim poslanicima</t>
  </si>
  <si>
    <t>412-6</t>
  </si>
  <si>
    <t>Otpremnine</t>
  </si>
  <si>
    <t>412-5</t>
  </si>
  <si>
    <t>Jubilarne nagrade</t>
  </si>
  <si>
    <t>412-4</t>
  </si>
  <si>
    <t>Naknada za prevoz</t>
  </si>
  <si>
    <t>412-3</t>
  </si>
  <si>
    <t>Naknada za stanovanje i odvojeni život</t>
  </si>
  <si>
    <t>412-2</t>
  </si>
  <si>
    <t>Naknada za zimnicu</t>
  </si>
  <si>
    <t>412-1</t>
  </si>
  <si>
    <t>412</t>
  </si>
  <si>
    <t>Opštinski prirez</t>
  </si>
  <si>
    <t>411-5</t>
  </si>
  <si>
    <t>Doprinosi na teret poslodavca</t>
  </si>
  <si>
    <t>411-4</t>
  </si>
  <si>
    <t>Doprinosi na teret zaposlenog</t>
  </si>
  <si>
    <t>411-3</t>
  </si>
  <si>
    <t>Porez na zarade</t>
  </si>
  <si>
    <t>411-2</t>
  </si>
  <si>
    <t>Neto zarade</t>
  </si>
  <si>
    <t>411-1</t>
  </si>
  <si>
    <t>411</t>
  </si>
  <si>
    <t>Tekući izdaci</t>
  </si>
  <si>
    <t>41</t>
  </si>
  <si>
    <t>I</t>
  </si>
  <si>
    <t>% izvršenja godišnjeg budžeta</t>
  </si>
  <si>
    <t>Vrsta rashoda</t>
  </si>
  <si>
    <t>Redni broj</t>
  </si>
  <si>
    <t>OBRAZAC PIR</t>
  </si>
  <si>
    <t>OBRAZAC NEO</t>
  </si>
  <si>
    <t>Vrsta neizmirene obaveze</t>
  </si>
  <si>
    <t xml:space="preserve">Obaveze za tekuće rashode </t>
  </si>
  <si>
    <t>Obaveze za bruto zarade i doprinose na teret poslodavca</t>
  </si>
  <si>
    <t>Obaveze za ostala lična primanja</t>
  </si>
  <si>
    <t>Obaveze za ostale tekuće rashode</t>
  </si>
  <si>
    <t>Obaveze po transferima za socijalnu zaštitu</t>
  </si>
  <si>
    <t>Obaveze za transfere institucijama,pojedincima,NVO</t>
  </si>
  <si>
    <t>Obaveze za kapitalne izdatke</t>
  </si>
  <si>
    <t>Obaveze po pozajmicama i kreditima</t>
  </si>
  <si>
    <t>a)</t>
  </si>
  <si>
    <t>glavnica</t>
  </si>
  <si>
    <t>b)</t>
  </si>
  <si>
    <t>kamata</t>
  </si>
  <si>
    <t>VI</t>
  </si>
  <si>
    <t>Obaveze po osnovu otplate dugova</t>
  </si>
  <si>
    <t>VII</t>
  </si>
  <si>
    <t>Obaveze po osnovu reprogramiranog poreskog duga</t>
  </si>
  <si>
    <t>VIII</t>
  </si>
  <si>
    <t>Obaveze iz rezervi</t>
  </si>
  <si>
    <t>UKUPNE NEIZMIRENE OBAVEZE ( I+II+III+IV+V+VI+VII)</t>
  </si>
  <si>
    <t>Reprogramirani poreski dug</t>
  </si>
  <si>
    <t>ukupan iznos reprogramiranog poreskog duga</t>
  </si>
  <si>
    <t xml:space="preserve"> Opština Berane</t>
  </si>
  <si>
    <t>Preduzeća i ustanove čiji je osnivač Opština, za koje Opština vrši uplate po reprogramu</t>
  </si>
  <si>
    <t>mp</t>
  </si>
  <si>
    <t>Potpis ovlašćenog lica</t>
  </si>
  <si>
    <t>OBRAZAC BUZ</t>
  </si>
  <si>
    <t>Vrsta zaduženja</t>
  </si>
  <si>
    <t xml:space="preserve">Ugovoreni iznos sredstava </t>
  </si>
  <si>
    <t xml:space="preserve">Iznos povučenih sredstava </t>
  </si>
  <si>
    <t xml:space="preserve">Iznos otplaćenog duga po glavnici </t>
  </si>
  <si>
    <t xml:space="preserve">Stanje duga </t>
  </si>
  <si>
    <t>Domaći dug</t>
  </si>
  <si>
    <t xml:space="preserve">Krediti </t>
  </si>
  <si>
    <t>a</t>
  </si>
  <si>
    <t>Kratkoročni (glavnica)</t>
  </si>
  <si>
    <t>b</t>
  </si>
  <si>
    <t>Dugoročni (glavnica)</t>
  </si>
  <si>
    <t>Obveznice</t>
  </si>
  <si>
    <t xml:space="preserve"> </t>
  </si>
  <si>
    <t>Inostrani dug</t>
  </si>
  <si>
    <t>Krediti</t>
  </si>
  <si>
    <t xml:space="preserve">     UKUPNO (I+II)</t>
  </si>
  <si>
    <t>Domaće garancije</t>
  </si>
  <si>
    <t>Inostrane garancije</t>
  </si>
  <si>
    <t>UKUPNO IZDATE GARANCIJE (III+IV)</t>
  </si>
  <si>
    <t xml:space="preserve">                                                                                                               </t>
  </si>
  <si>
    <t>Naziv institucije</t>
  </si>
  <si>
    <t>Broj radnika:</t>
  </si>
  <si>
    <t>Opština Berane</t>
  </si>
  <si>
    <t>JU Centar za kulturu</t>
  </si>
  <si>
    <t>JU Polimski muzej</t>
  </si>
  <si>
    <t>DOO Sportski centar</t>
  </si>
  <si>
    <t>DOO Agencija za izgradnju i razvoj Berane</t>
  </si>
  <si>
    <t>Turistička organizacija Berane</t>
  </si>
  <si>
    <t xml:space="preserve">DOO Lokalni javni emiter Radio Berane </t>
  </si>
  <si>
    <t>DOO Benergo</t>
  </si>
  <si>
    <t>DOO Regionalni biznis centar</t>
  </si>
  <si>
    <t>DOO Komunalno Berane</t>
  </si>
  <si>
    <t>DOO Vodovod i kanalizacija Berane</t>
  </si>
  <si>
    <t xml:space="preserve">DOO Parking servis </t>
  </si>
  <si>
    <t>JU Dnevni centar za djecu i omladinu sa smetnjama i teškoćama u razvoju</t>
  </si>
  <si>
    <t>Opštinska organizacija crvenog krsta Berane</t>
  </si>
  <si>
    <t>Broj zaposlenih Opštine Berane, javnih ustanova i preduzeća čiji je osnivač Opština na dan 30.09.2025. godine</t>
  </si>
  <si>
    <t>Iznos zaduženja opštine na kraju III kvartala 2025. god.</t>
  </si>
  <si>
    <t>Iznos zaduženja javnih preduzeća na kraju III kvartala 2025. god.</t>
  </si>
  <si>
    <t>Stanje neizmirenih obaveza opštine na 30.09.2025. god.</t>
  </si>
  <si>
    <t>Stanje neizmirenih obaveza javnih preduzeća i ustanova na 30.09.2025. god.</t>
  </si>
  <si>
    <t>dospjeli iznos reprogramiranog poreskog duga na kraju III kvartala 2025. godine</t>
  </si>
  <si>
    <t>plaćeni iznos reprogramiranog poreskog duga  na kraju III kvartala 2025. godine</t>
  </si>
  <si>
    <t>dospjeli neplaćeni iznos reprogramiranog porskog duga na kraju III kvartala 2025. godine</t>
  </si>
  <si>
    <t>Izvršenje u periodu od 01.01.-30.09.2025. godine</t>
  </si>
  <si>
    <t>Izvršeno u periodu od 01.01. do 30.09. 2025. godine</t>
  </si>
  <si>
    <t>Izvršenje u periodu od 01.09. do 30.09.2025. godine</t>
  </si>
  <si>
    <t>Ostvareno u periodu od 01.09. do 30.09.2025. godine</t>
  </si>
  <si>
    <t>Ostvareno u periodu od 01.01. do 30.09.2025. godine</t>
  </si>
  <si>
    <t>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</si>
</sst>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Te\x\t"/>
    <numFmt numFmtId="165" formatCode="#,##0.00\ &quot;€&quot;"/>
    <numFmt numFmtId="166" formatCode="0.00000000000"/>
    <numFmt numFmtId="167" formatCode="#,##0.00000"/>
  </numFmts>
  <fonts count="29" x14ac:knownFonts="1">
    <font>
      <sz val="11"/>
      <name val="Calibri"/>
    </font>
    <font>
      <sz val="11"/>
      <color theme="1"/>
      <name val="Calibri"/>
      <family val="2"/>
      <scheme val="minor"/>
    </font>
    <font>
      <sz val="8"/>
      <name val="Cambria"/>
      <family val="1"/>
      <charset val="238"/>
    </font>
    <font>
      <b/>
      <sz val="8"/>
      <name val="Cambria"/>
      <family val="1"/>
    </font>
    <font>
      <sz val="8"/>
      <name val="Cambria"/>
      <family val="1"/>
    </font>
    <font>
      <b/>
      <sz val="9"/>
      <color theme="1"/>
      <name val="Cambria"/>
      <family val="1"/>
    </font>
    <font>
      <b/>
      <sz val="9"/>
      <color indexed="8"/>
      <name val="Cambria"/>
      <family val="1"/>
    </font>
    <font>
      <sz val="9"/>
      <color indexed="8"/>
      <name val="Cambria"/>
      <family val="1"/>
    </font>
    <font>
      <b/>
      <sz val="9"/>
      <name val="Cambria"/>
      <family val="1"/>
    </font>
    <font>
      <b/>
      <sz val="11"/>
      <color theme="1"/>
      <name val="Calibri"/>
      <family val="2"/>
      <scheme val="minor"/>
    </font>
    <font>
      <sz val="11"/>
      <name val="Cambria"/>
      <family val="1"/>
    </font>
    <font>
      <sz val="10"/>
      <color indexed="8"/>
      <name val="Cambria"/>
      <family val="1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12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b/>
      <sz val="10"/>
      <color theme="1"/>
      <name val="Cambria"/>
      <family val="1"/>
    </font>
    <font>
      <sz val="10"/>
      <color theme="1"/>
      <name val="Cambria"/>
      <family val="1"/>
    </font>
    <font>
      <sz val="11"/>
      <color indexed="8"/>
      <name val="Calibri"/>
      <family val="2"/>
    </font>
    <font>
      <b/>
      <sz val="11"/>
      <name val="Cambria"/>
      <family val="1"/>
    </font>
    <font>
      <sz val="9"/>
      <name val="Cambria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indexed="8"/>
      <name val="Arial"/>
      <family val="2"/>
      <charset val="238"/>
    </font>
    <font>
      <sz val="11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8"/>
      <name val="Cambria"/>
      <family val="1"/>
      <charset val="238"/>
    </font>
    <font>
      <b/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19" fillId="0" borderId="0"/>
    <xf numFmtId="0" fontId="24" fillId="0" borderId="0">
      <alignment vertical="top"/>
    </xf>
    <xf numFmtId="0" fontId="25" fillId="0" borderId="0"/>
    <xf numFmtId="0" fontId="26" fillId="0" borderId="0">
      <alignment vertical="top"/>
    </xf>
  </cellStyleXfs>
  <cellXfs count="223">
    <xf numFmtId="0" fontId="0" fillId="0" borderId="0" xfId="0"/>
    <xf numFmtId="0" fontId="2" fillId="0" borderId="0" xfId="0" applyFont="1"/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left" vertical="center" wrapText="1"/>
    </xf>
    <xf numFmtId="164" fontId="3" fillId="0" borderId="9" xfId="0" applyNumberFormat="1" applyFont="1" applyBorder="1" applyAlignment="1">
      <alignment horizontal="left" vertical="center" wrapText="1"/>
    </xf>
    <xf numFmtId="4" fontId="3" fillId="0" borderId="10" xfId="0" applyNumberFormat="1" applyFont="1" applyBorder="1" applyAlignment="1">
      <alignment horizontal="right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0" fontId="4" fillId="0" borderId="0" xfId="0" applyFont="1"/>
    <xf numFmtId="4" fontId="4" fillId="0" borderId="6" xfId="0" applyNumberFormat="1" applyFont="1" applyBorder="1" applyAlignment="1">
      <alignment horizontal="right" vertical="center" wrapText="1"/>
    </xf>
    <xf numFmtId="49" fontId="2" fillId="0" borderId="0" xfId="0" applyNumberFormat="1" applyFont="1"/>
    <xf numFmtId="49" fontId="4" fillId="0" borderId="0" xfId="0" applyNumberFormat="1" applyFont="1"/>
    <xf numFmtId="49" fontId="8" fillId="0" borderId="0" xfId="0" applyNumberFormat="1" applyFont="1"/>
    <xf numFmtId="0" fontId="3" fillId="0" borderId="0" xfId="0" applyFont="1"/>
    <xf numFmtId="164" fontId="3" fillId="0" borderId="8" xfId="0" applyNumberFormat="1" applyFont="1" applyBorder="1" applyAlignment="1">
      <alignment horizontal="right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0" fontId="8" fillId="0" borderId="0" xfId="0" applyFont="1"/>
    <xf numFmtId="4" fontId="3" fillId="0" borderId="6" xfId="0" applyNumberFormat="1" applyFont="1" applyBorder="1" applyAlignment="1">
      <alignment horizontal="right" vertical="center" wrapText="1"/>
    </xf>
    <xf numFmtId="4" fontId="4" fillId="0" borderId="0" xfId="0" applyNumberFormat="1" applyFont="1"/>
    <xf numFmtId="4" fontId="2" fillId="0" borderId="0" xfId="0" applyNumberFormat="1" applyFont="1"/>
    <xf numFmtId="0" fontId="10" fillId="0" borderId="0" xfId="0" applyFont="1"/>
    <xf numFmtId="0" fontId="11" fillId="0" borderId="0" xfId="1" applyFont="1"/>
    <xf numFmtId="0" fontId="12" fillId="0" borderId="0" xfId="1" applyFont="1"/>
    <xf numFmtId="0" fontId="15" fillId="0" borderId="3" xfId="1" applyFont="1" applyBorder="1" applyAlignment="1">
      <alignment horizontal="center" vertical="center" wrapText="1"/>
    </xf>
    <xf numFmtId="0" fontId="15" fillId="0" borderId="7" xfId="1" applyFont="1" applyBorder="1" applyAlignment="1">
      <alignment horizontal="center"/>
    </xf>
    <xf numFmtId="4" fontId="12" fillId="0" borderId="0" xfId="1" applyNumberFormat="1" applyFont="1"/>
    <xf numFmtId="16" fontId="16" fillId="0" borderId="7" xfId="1" applyNumberFormat="1" applyFont="1" applyBorder="1" applyAlignment="1">
      <alignment horizontal="center"/>
    </xf>
    <xf numFmtId="0" fontId="15" fillId="0" borderId="8" xfId="1" applyFont="1" applyBorder="1" applyAlignment="1">
      <alignment horizontal="center"/>
    </xf>
    <xf numFmtId="0" fontId="1" fillId="0" borderId="0" xfId="1" applyAlignment="1">
      <alignment horizontal="right"/>
    </xf>
    <xf numFmtId="0" fontId="1" fillId="0" borderId="0" xfId="1"/>
    <xf numFmtId="4" fontId="0" fillId="0" borderId="0" xfId="0" applyNumberFormat="1"/>
    <xf numFmtId="4" fontId="10" fillId="0" borderId="0" xfId="0" applyNumberFormat="1" applyFont="1"/>
    <xf numFmtId="167" fontId="10" fillId="0" borderId="0" xfId="0" applyNumberFormat="1" applyFont="1"/>
    <xf numFmtId="0" fontId="1" fillId="0" borderId="2" xfId="1" applyBorder="1"/>
    <xf numFmtId="0" fontId="1" fillId="0" borderId="2" xfId="1" applyBorder="1" applyAlignment="1">
      <alignment wrapText="1"/>
    </xf>
    <xf numFmtId="0" fontId="9" fillId="0" borderId="4" xfId="1" applyFont="1" applyBorder="1"/>
    <xf numFmtId="0" fontId="9" fillId="0" borderId="5" xfId="1" applyFont="1" applyBorder="1"/>
    <xf numFmtId="0" fontId="1" fillId="0" borderId="8" xfId="1" applyBorder="1"/>
    <xf numFmtId="0" fontId="9" fillId="0" borderId="9" xfId="1" applyFont="1" applyBorder="1"/>
    <xf numFmtId="0" fontId="9" fillId="0" borderId="3" xfId="1" applyFont="1" applyBorder="1"/>
    <xf numFmtId="0" fontId="1" fillId="0" borderId="7" xfId="1" applyBorder="1" applyAlignment="1">
      <alignment horizontal="center"/>
    </xf>
    <xf numFmtId="0" fontId="1" fillId="0" borderId="7" xfId="1" applyBorder="1" applyAlignment="1">
      <alignment horizontal="center" vertical="center"/>
    </xf>
    <xf numFmtId="0" fontId="1" fillId="0" borderId="2" xfId="1" applyBorder="1" applyAlignment="1">
      <alignment vertical="center" wrapText="1"/>
    </xf>
    <xf numFmtId="165" fontId="18" fillId="0" borderId="0" xfId="1" applyNumberFormat="1" applyFont="1" applyAlignment="1">
      <alignment horizontal="center" vertical="center"/>
    </xf>
    <xf numFmtId="165" fontId="0" fillId="0" borderId="0" xfId="0" applyNumberFormat="1"/>
    <xf numFmtId="4" fontId="25" fillId="0" borderId="0" xfId="0" applyNumberFormat="1" applyFont="1"/>
    <xf numFmtId="165" fontId="10" fillId="0" borderId="0" xfId="0" applyNumberFormat="1" applyFont="1"/>
    <xf numFmtId="4" fontId="2" fillId="0" borderId="6" xfId="0" applyNumberFormat="1" applyFont="1" applyBorder="1" applyAlignment="1">
      <alignment horizontal="right" vertical="center" wrapText="1"/>
    </xf>
    <xf numFmtId="4" fontId="3" fillId="0" borderId="23" xfId="0" applyNumberFormat="1" applyFont="1" applyBorder="1" applyAlignment="1">
      <alignment horizontal="right" vertical="center" wrapText="1"/>
    </xf>
    <xf numFmtId="4" fontId="2" fillId="0" borderId="23" xfId="0" applyNumberFormat="1" applyFont="1" applyBorder="1" applyAlignment="1">
      <alignment horizontal="right" vertical="center" wrapText="1"/>
    </xf>
    <xf numFmtId="4" fontId="4" fillId="0" borderId="23" xfId="0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" fillId="0" borderId="30" xfId="1" applyBorder="1" applyAlignment="1">
      <alignment horizontal="center"/>
    </xf>
    <xf numFmtId="0" fontId="8" fillId="0" borderId="39" xfId="2" applyFont="1" applyBorder="1" applyAlignment="1">
      <alignment horizontal="center"/>
    </xf>
    <xf numFmtId="0" fontId="8" fillId="0" borderId="40" xfId="2" applyFont="1" applyBorder="1"/>
    <xf numFmtId="0" fontId="8" fillId="0" borderId="22" xfId="2" applyFont="1" applyBorder="1" applyAlignment="1">
      <alignment horizontal="right"/>
    </xf>
    <xf numFmtId="0" fontId="8" fillId="0" borderId="20" xfId="2" applyFont="1" applyBorder="1"/>
    <xf numFmtId="0" fontId="21" fillId="0" borderId="22" xfId="2" applyFont="1" applyBorder="1" applyAlignment="1">
      <alignment horizontal="right"/>
    </xf>
    <xf numFmtId="0" fontId="21" fillId="0" borderId="20" xfId="2" applyFont="1" applyBorder="1"/>
    <xf numFmtId="0" fontId="8" fillId="0" borderId="22" xfId="2" applyFont="1" applyBorder="1" applyAlignment="1">
      <alignment horizontal="center"/>
    </xf>
    <xf numFmtId="0" fontId="8" fillId="0" borderId="26" xfId="2" applyFont="1" applyBorder="1" applyAlignment="1">
      <alignment horizontal="center"/>
    </xf>
    <xf numFmtId="0" fontId="8" fillId="0" borderId="24" xfId="2" applyFont="1" applyBorder="1"/>
    <xf numFmtId="0" fontId="19" fillId="0" borderId="0" xfId="2"/>
    <xf numFmtId="0" fontId="9" fillId="0" borderId="10" xfId="1" applyFont="1" applyBorder="1"/>
    <xf numFmtId="0" fontId="1" fillId="0" borderId="0" xfId="1" applyAlignment="1">
      <alignment horizontal="center"/>
    </xf>
    <xf numFmtId="2" fontId="1" fillId="0" borderId="0" xfId="1" applyNumberFormat="1"/>
    <xf numFmtId="0" fontId="1" fillId="0" borderId="30" xfId="1" applyBorder="1"/>
    <xf numFmtId="4" fontId="3" fillId="0" borderId="2" xfId="0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4" fontId="3" fillId="0" borderId="0" xfId="0" applyNumberFormat="1" applyFont="1"/>
    <xf numFmtId="4" fontId="4" fillId="0" borderId="0" xfId="0" applyNumberFormat="1" applyFont="1" applyAlignment="1">
      <alignment horizontal="right" vertical="center"/>
    </xf>
    <xf numFmtId="166" fontId="4" fillId="0" borderId="0" xfId="0" applyNumberFormat="1" applyFont="1"/>
    <xf numFmtId="0" fontId="5" fillId="0" borderId="2" xfId="0" applyFont="1" applyBorder="1" applyAlignment="1">
      <alignment vertical="center"/>
    </xf>
    <xf numFmtId="49" fontId="3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right" vertical="center" wrapText="1"/>
    </xf>
    <xf numFmtId="49" fontId="4" fillId="0" borderId="2" xfId="0" applyNumberFormat="1" applyFont="1" applyBorder="1" applyAlignment="1">
      <alignment horizontal="right" vertical="center" wrapText="1"/>
    </xf>
    <xf numFmtId="49" fontId="3" fillId="0" borderId="2" xfId="0" applyNumberFormat="1" applyFont="1" applyBorder="1" applyAlignment="1">
      <alignment horizontal="right" vertical="center" wrapText="1"/>
    </xf>
    <xf numFmtId="4" fontId="1" fillId="0" borderId="0" xfId="1" applyNumberFormat="1"/>
    <xf numFmtId="4" fontId="27" fillId="0" borderId="2" xfId="0" applyNumberFormat="1" applyFont="1" applyBorder="1" applyAlignment="1">
      <alignment horizontal="right" vertical="center" wrapText="1"/>
    </xf>
    <xf numFmtId="4" fontId="2" fillId="0" borderId="2" xfId="0" applyNumberFormat="1" applyFont="1" applyBorder="1"/>
    <xf numFmtId="4" fontId="4" fillId="0" borderId="2" xfId="0" applyNumberFormat="1" applyFont="1" applyBorder="1"/>
    <xf numFmtId="4" fontId="2" fillId="0" borderId="2" xfId="0" applyNumberFormat="1" applyFont="1" applyBorder="1" applyAlignment="1">
      <alignment horizontal="right" vertical="center" wrapText="1"/>
    </xf>
    <xf numFmtId="4" fontId="3" fillId="0" borderId="2" xfId="0" applyNumberFormat="1" applyFont="1" applyBorder="1"/>
    <xf numFmtId="4" fontId="3" fillId="0" borderId="20" xfId="0" applyNumberFormat="1" applyFont="1" applyBorder="1" applyAlignment="1">
      <alignment horizontal="right" vertical="center" wrapText="1"/>
    </xf>
    <xf numFmtId="4" fontId="3" fillId="0" borderId="9" xfId="0" applyNumberFormat="1" applyFont="1" applyBorder="1" applyAlignment="1">
      <alignment horizontal="right" vertical="center" wrapText="1"/>
    </xf>
    <xf numFmtId="0" fontId="6" fillId="0" borderId="2" xfId="0" applyFont="1" applyBorder="1"/>
    <xf numFmtId="0" fontId="7" fillId="0" borderId="2" xfId="0" applyFont="1" applyBorder="1"/>
    <xf numFmtId="0" fontId="6" fillId="0" borderId="2" xfId="0" applyFont="1" applyBorder="1" applyAlignment="1">
      <alignment horizontal="left" vertical="justify" wrapText="1"/>
    </xf>
    <xf numFmtId="0" fontId="5" fillId="0" borderId="2" xfId="0" applyFont="1" applyBorder="1"/>
    <xf numFmtId="165" fontId="8" fillId="0" borderId="41" xfId="2" applyNumberFormat="1" applyFont="1" applyBorder="1"/>
    <xf numFmtId="165" fontId="8" fillId="0" borderId="42" xfId="2" applyNumberFormat="1" applyFont="1" applyBorder="1"/>
    <xf numFmtId="165" fontId="8" fillId="0" borderId="43" xfId="2" applyNumberFormat="1" applyFont="1" applyBorder="1"/>
    <xf numFmtId="165" fontId="8" fillId="0" borderId="2" xfId="2" applyNumberFormat="1" applyFont="1" applyBorder="1"/>
    <xf numFmtId="165" fontId="8" fillId="0" borderId="7" xfId="2" applyNumberFormat="1" applyFont="1" applyBorder="1"/>
    <xf numFmtId="165" fontId="8" fillId="0" borderId="23" xfId="2" applyNumberFormat="1" applyFont="1" applyBorder="1"/>
    <xf numFmtId="165" fontId="21" fillId="0" borderId="2" xfId="2" applyNumberFormat="1" applyFont="1" applyBorder="1"/>
    <xf numFmtId="165" fontId="21" fillId="0" borderId="7" xfId="2" applyNumberFormat="1" applyFont="1" applyBorder="1"/>
    <xf numFmtId="165" fontId="21" fillId="0" borderId="6" xfId="2" applyNumberFormat="1" applyFont="1" applyBorder="1"/>
    <xf numFmtId="165" fontId="8" fillId="0" borderId="6" xfId="2" applyNumberFormat="1" applyFont="1" applyBorder="1"/>
    <xf numFmtId="165" fontId="8" fillId="0" borderId="46" xfId="2" applyNumberFormat="1" applyFont="1" applyBorder="1"/>
    <xf numFmtId="165" fontId="8" fillId="0" borderId="47" xfId="2" applyNumberFormat="1" applyFont="1" applyBorder="1"/>
    <xf numFmtId="165" fontId="8" fillId="0" borderId="48" xfId="2" applyNumberFormat="1" applyFont="1" applyBorder="1"/>
    <xf numFmtId="165" fontId="8" fillId="0" borderId="49" xfId="2" applyNumberFormat="1" applyFont="1" applyBorder="1"/>
    <xf numFmtId="165" fontId="21" fillId="0" borderId="41" xfId="2" applyNumberFormat="1" applyFont="1" applyBorder="1"/>
    <xf numFmtId="165" fontId="21" fillId="0" borderId="42" xfId="2" applyNumberFormat="1" applyFont="1" applyBorder="1"/>
    <xf numFmtId="165" fontId="21" fillId="0" borderId="50" xfId="2" applyNumberFormat="1" applyFont="1" applyBorder="1"/>
    <xf numFmtId="165" fontId="8" fillId="0" borderId="9" xfId="2" applyNumberFormat="1" applyFont="1" applyBorder="1"/>
    <xf numFmtId="165" fontId="21" fillId="0" borderId="8" xfId="2" applyNumberFormat="1" applyFont="1" applyBorder="1"/>
    <xf numFmtId="165" fontId="21" fillId="0" borderId="9" xfId="2" applyNumberFormat="1" applyFont="1" applyBorder="1"/>
    <xf numFmtId="165" fontId="21" fillId="0" borderId="10" xfId="2" applyNumberFormat="1" applyFont="1" applyBorder="1"/>
    <xf numFmtId="165" fontId="8" fillId="0" borderId="53" xfId="2" applyNumberFormat="1" applyFont="1" applyBorder="1"/>
    <xf numFmtId="165" fontId="8" fillId="0" borderId="54" xfId="2" applyNumberFormat="1" applyFont="1" applyBorder="1"/>
    <xf numFmtId="165" fontId="8" fillId="0" borderId="55" xfId="2" applyNumberFormat="1" applyFont="1" applyBorder="1"/>
    <xf numFmtId="49" fontId="2" fillId="0" borderId="2" xfId="0" applyNumberFormat="1" applyFont="1" applyBorder="1"/>
    <xf numFmtId="49" fontId="2" fillId="0" borderId="2" xfId="0" applyNumberFormat="1" applyFont="1" applyBorder="1" applyAlignment="1">
      <alignment horizontal="right" vertical="center" wrapText="1"/>
    </xf>
    <xf numFmtId="164" fontId="2" fillId="0" borderId="2" xfId="0" applyNumberFormat="1" applyFont="1" applyBorder="1" applyAlignment="1">
      <alignment horizontal="left" vertical="center" wrapText="1"/>
    </xf>
    <xf numFmtId="164" fontId="2" fillId="0" borderId="7" xfId="0" applyNumberFormat="1" applyFont="1" applyBorder="1" applyAlignment="1">
      <alignment horizontal="right" vertical="center" wrapText="1"/>
    </xf>
    <xf numFmtId="4" fontId="2" fillId="0" borderId="20" xfId="0" applyNumberFormat="1" applyFont="1" applyBorder="1" applyAlignment="1">
      <alignment horizontal="right" vertical="center" wrapText="1"/>
    </xf>
    <xf numFmtId="4" fontId="2" fillId="0" borderId="20" xfId="0" applyNumberFormat="1" applyFont="1" applyBorder="1"/>
    <xf numFmtId="4" fontId="9" fillId="0" borderId="0" xfId="0" applyNumberFormat="1" applyFont="1"/>
    <xf numFmtId="4" fontId="4" fillId="0" borderId="2" xfId="0" applyNumberFormat="1" applyFont="1" applyBorder="1" applyAlignment="1">
      <alignment vertical="center"/>
    </xf>
    <xf numFmtId="4" fontId="4" fillId="0" borderId="20" xfId="0" applyNumberFormat="1" applyFont="1" applyBorder="1"/>
    <xf numFmtId="0" fontId="28" fillId="0" borderId="0" xfId="0" applyFont="1"/>
    <xf numFmtId="0" fontId="25" fillId="0" borderId="0" xfId="0" applyFont="1"/>
    <xf numFmtId="2" fontId="0" fillId="0" borderId="0" xfId="0" applyNumberFormat="1"/>
    <xf numFmtId="2" fontId="28" fillId="0" borderId="0" xfId="0" applyNumberFormat="1" applyFont="1"/>
    <xf numFmtId="4" fontId="2" fillId="0" borderId="2" xfId="0" applyNumberFormat="1" applyFont="1" applyBorder="1" applyAlignment="1">
      <alignment horizontal="right" vertical="center"/>
    </xf>
    <xf numFmtId="0" fontId="8" fillId="0" borderId="35" xfId="2" applyFont="1" applyBorder="1" applyAlignment="1">
      <alignment horizontal="center" vertical="center" wrapText="1"/>
    </xf>
    <xf numFmtId="0" fontId="8" fillId="0" borderId="36" xfId="2" applyFont="1" applyBorder="1" applyAlignment="1">
      <alignment horizontal="center" vertical="center" wrapText="1"/>
    </xf>
    <xf numFmtId="0" fontId="8" fillId="0" borderId="37" xfId="2" applyFont="1" applyBorder="1" applyAlignment="1">
      <alignment horizontal="center" vertical="center" wrapText="1"/>
    </xf>
    <xf numFmtId="0" fontId="8" fillId="0" borderId="38" xfId="2" applyFont="1" applyBorder="1" applyAlignment="1">
      <alignment horizontal="center" vertical="center" wrapText="1"/>
    </xf>
    <xf numFmtId="4" fontId="17" fillId="0" borderId="2" xfId="1" applyNumberFormat="1" applyFont="1" applyBorder="1" applyAlignment="1">
      <alignment horizontal="center" vertical="center"/>
    </xf>
    <xf numFmtId="4" fontId="18" fillId="0" borderId="2" xfId="1" applyNumberFormat="1" applyFont="1" applyBorder="1" applyAlignment="1">
      <alignment horizontal="center" vertical="center"/>
    </xf>
    <xf numFmtId="4" fontId="18" fillId="0" borderId="6" xfId="1" applyNumberFormat="1" applyFont="1" applyBorder="1" applyAlignment="1">
      <alignment horizontal="center" vertical="center"/>
    </xf>
    <xf numFmtId="4" fontId="17" fillId="0" borderId="9" xfId="1" applyNumberFormat="1" applyFont="1" applyBorder="1" applyAlignment="1">
      <alignment horizontal="center"/>
    </xf>
    <xf numFmtId="4" fontId="17" fillId="0" borderId="10" xfId="1" applyNumberFormat="1" applyFont="1" applyBorder="1" applyAlignment="1">
      <alignment horizontal="center"/>
    </xf>
    <xf numFmtId="4" fontId="4" fillId="0" borderId="0" xfId="0" applyNumberFormat="1" applyFont="1" applyAlignment="1">
      <alignment horizontal="right"/>
    </xf>
    <xf numFmtId="4" fontId="27" fillId="0" borderId="0" xfId="0" applyNumberFormat="1" applyFont="1"/>
    <xf numFmtId="17" fontId="2" fillId="0" borderId="0" xfId="0" applyNumberFormat="1" applyFont="1"/>
    <xf numFmtId="0" fontId="1" fillId="0" borderId="6" xfId="1" applyBorder="1" applyAlignment="1">
      <alignment vertical="center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31" xfId="0" applyNumberFormat="1" applyFont="1" applyBorder="1" applyAlignment="1">
      <alignment horizontal="center" vertical="center" wrapText="1"/>
    </xf>
    <xf numFmtId="164" fontId="3" fillId="0" borderId="57" xfId="0" applyNumberFormat="1" applyFont="1" applyBorder="1" applyAlignment="1">
      <alignment horizontal="center" vertical="center" wrapText="1"/>
    </xf>
    <xf numFmtId="164" fontId="3" fillId="0" borderId="58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0" fontId="15" fillId="0" borderId="20" xfId="1" applyFont="1" applyBorder="1" applyAlignment="1">
      <alignment vertical="center"/>
    </xf>
    <xf numFmtId="0" fontId="15" fillId="0" borderId="21" xfId="1" applyFont="1" applyBorder="1" applyAlignment="1">
      <alignment vertical="center"/>
    </xf>
    <xf numFmtId="4" fontId="15" fillId="0" borderId="22" xfId="1" applyNumberFormat="1" applyFont="1" applyBorder="1" applyAlignment="1">
      <alignment horizontal="right" vertical="center"/>
    </xf>
    <xf numFmtId="4" fontId="15" fillId="0" borderId="23" xfId="1" applyNumberFormat="1" applyFont="1" applyBorder="1" applyAlignment="1">
      <alignment horizontal="right" vertical="center"/>
    </xf>
    <xf numFmtId="4" fontId="15" fillId="0" borderId="22" xfId="1" applyNumberFormat="1" applyFont="1" applyBorder="1" applyAlignment="1">
      <alignment horizontal="right"/>
    </xf>
    <xf numFmtId="4" fontId="15" fillId="0" borderId="23" xfId="1" applyNumberFormat="1" applyFont="1" applyBorder="1" applyAlignment="1">
      <alignment horizontal="right"/>
    </xf>
    <xf numFmtId="0" fontId="13" fillId="0" borderId="11" xfId="1" applyFont="1" applyBorder="1" applyAlignment="1">
      <alignment horizontal="center"/>
    </xf>
    <xf numFmtId="0" fontId="13" fillId="0" borderId="12" xfId="1" applyFont="1" applyBorder="1" applyAlignment="1">
      <alignment horizontal="center"/>
    </xf>
    <xf numFmtId="0" fontId="13" fillId="0" borderId="13" xfId="1" applyFont="1" applyBorder="1" applyAlignment="1">
      <alignment horizontal="center"/>
    </xf>
    <xf numFmtId="0" fontId="14" fillId="2" borderId="14" xfId="1" applyFont="1" applyFill="1" applyBorder="1" applyAlignment="1">
      <alignment horizontal="center"/>
    </xf>
    <xf numFmtId="0" fontId="14" fillId="2" borderId="15" xfId="1" applyFont="1" applyFill="1" applyBorder="1" applyAlignment="1">
      <alignment horizontal="center"/>
    </xf>
    <xf numFmtId="0" fontId="15" fillId="0" borderId="16" xfId="1" applyFont="1" applyBorder="1" applyAlignment="1">
      <alignment horizontal="center" vertical="center"/>
    </xf>
    <xf numFmtId="0" fontId="15" fillId="0" borderId="17" xfId="1" applyFont="1" applyBorder="1" applyAlignment="1">
      <alignment horizontal="center" vertical="center"/>
    </xf>
    <xf numFmtId="0" fontId="15" fillId="0" borderId="18" xfId="1" applyFont="1" applyBorder="1" applyAlignment="1">
      <alignment horizontal="center" vertical="center" wrapText="1"/>
    </xf>
    <xf numFmtId="0" fontId="15" fillId="0" borderId="19" xfId="1" applyFont="1" applyBorder="1" applyAlignment="1">
      <alignment horizontal="center" vertical="center" wrapText="1"/>
    </xf>
    <xf numFmtId="0" fontId="16" fillId="0" borderId="20" xfId="1" applyFont="1" applyBorder="1" applyAlignment="1">
      <alignment vertical="center" wrapText="1"/>
    </xf>
    <xf numFmtId="0" fontId="16" fillId="0" borderId="21" xfId="1" applyFont="1" applyBorder="1" applyAlignment="1">
      <alignment vertical="center" wrapText="1"/>
    </xf>
    <xf numFmtId="4" fontId="16" fillId="0" borderId="22" xfId="1" applyNumberFormat="1" applyFont="1" applyBorder="1" applyAlignment="1">
      <alignment horizontal="right" vertical="center"/>
    </xf>
    <xf numFmtId="4" fontId="16" fillId="0" borderId="23" xfId="1" applyNumberFormat="1" applyFont="1" applyBorder="1" applyAlignment="1">
      <alignment horizontal="right" vertical="center"/>
    </xf>
    <xf numFmtId="4" fontId="16" fillId="0" borderId="22" xfId="1" applyNumberFormat="1" applyFont="1" applyBorder="1" applyAlignment="1">
      <alignment horizontal="right"/>
    </xf>
    <xf numFmtId="4" fontId="16" fillId="0" borderId="23" xfId="1" applyNumberFormat="1" applyFont="1" applyBorder="1" applyAlignment="1">
      <alignment horizontal="right"/>
    </xf>
    <xf numFmtId="0" fontId="16" fillId="0" borderId="20" xfId="1" applyFont="1" applyBorder="1" applyAlignment="1">
      <alignment vertical="center"/>
    </xf>
    <xf numFmtId="0" fontId="16" fillId="0" borderId="21" xfId="1" applyFont="1" applyBorder="1" applyAlignment="1">
      <alignment vertical="center"/>
    </xf>
    <xf numFmtId="0" fontId="15" fillId="0" borderId="20" xfId="1" applyFont="1" applyBorder="1" applyAlignment="1">
      <alignment vertical="center" wrapText="1"/>
    </xf>
    <xf numFmtId="0" fontId="15" fillId="0" borderId="21" xfId="1" applyFont="1" applyBorder="1" applyAlignment="1">
      <alignment vertical="center" wrapText="1"/>
    </xf>
    <xf numFmtId="0" fontId="15" fillId="0" borderId="24" xfId="1" applyFont="1" applyBorder="1" applyAlignment="1">
      <alignment horizontal="left"/>
    </xf>
    <xf numFmtId="0" fontId="15" fillId="0" borderId="25" xfId="1" applyFont="1" applyBorder="1" applyAlignment="1">
      <alignment horizontal="left"/>
    </xf>
    <xf numFmtId="4" fontId="15" fillId="0" borderId="26" xfId="1" applyNumberFormat="1" applyFont="1" applyBorder="1" applyAlignment="1">
      <alignment horizontal="right" vertical="center"/>
    </xf>
    <xf numFmtId="4" fontId="15" fillId="0" borderId="27" xfId="1" applyNumberFormat="1" applyFont="1" applyBorder="1" applyAlignment="1">
      <alignment horizontal="right" vertical="center"/>
    </xf>
    <xf numFmtId="4" fontId="15" fillId="0" borderId="26" xfId="1" applyNumberFormat="1" applyFont="1" applyBorder="1" applyAlignment="1">
      <alignment horizontal="right"/>
    </xf>
    <xf numFmtId="4" fontId="15" fillId="0" borderId="27" xfId="1" applyNumberFormat="1" applyFont="1" applyBorder="1" applyAlignment="1">
      <alignment horizontal="right"/>
    </xf>
    <xf numFmtId="0" fontId="15" fillId="0" borderId="11" xfId="1" applyFont="1" applyBorder="1" applyAlignment="1">
      <alignment horizontal="center" vertical="center"/>
    </xf>
    <xf numFmtId="0" fontId="15" fillId="0" borderId="12" xfId="1" applyFont="1" applyBorder="1" applyAlignment="1">
      <alignment horizontal="center" vertical="center"/>
    </xf>
    <xf numFmtId="0" fontId="15" fillId="0" borderId="13" xfId="1" applyFont="1" applyBorder="1" applyAlignment="1">
      <alignment horizontal="center" vertical="center"/>
    </xf>
    <xf numFmtId="4" fontId="15" fillId="0" borderId="11" xfId="1" applyNumberFormat="1" applyFont="1" applyBorder="1" applyAlignment="1">
      <alignment horizontal="right" vertical="center"/>
    </xf>
    <xf numFmtId="4" fontId="15" fillId="0" borderId="13" xfId="1" applyNumberFormat="1" applyFont="1" applyBorder="1" applyAlignment="1">
      <alignment horizontal="right" vertical="center"/>
    </xf>
    <xf numFmtId="0" fontId="17" fillId="0" borderId="3" xfId="1" applyFont="1" applyBorder="1" applyAlignment="1">
      <alignment horizontal="center" vertical="center"/>
    </xf>
    <xf numFmtId="0" fontId="17" fillId="0" borderId="4" xfId="1" applyFont="1" applyBorder="1" applyAlignment="1">
      <alignment horizontal="center" vertical="center"/>
    </xf>
    <xf numFmtId="0" fontId="17" fillId="0" borderId="7" xfId="1" applyFont="1" applyBorder="1" applyAlignment="1">
      <alignment horizontal="center" vertical="center"/>
    </xf>
    <xf numFmtId="0" fontId="17" fillId="0" borderId="2" xfId="1" applyFont="1" applyBorder="1" applyAlignment="1">
      <alignment horizontal="center" vertical="center"/>
    </xf>
    <xf numFmtId="4" fontId="17" fillId="0" borderId="4" xfId="1" applyNumberFormat="1" applyFont="1" applyBorder="1" applyAlignment="1">
      <alignment horizontal="center" vertical="center" wrapText="1"/>
    </xf>
    <xf numFmtId="4" fontId="17" fillId="0" borderId="2" xfId="1" applyNumberFormat="1" applyFont="1" applyBorder="1" applyAlignment="1">
      <alignment horizontal="center" vertical="center" wrapText="1"/>
    </xf>
    <xf numFmtId="4" fontId="17" fillId="0" borderId="5" xfId="1" applyNumberFormat="1" applyFont="1" applyBorder="1" applyAlignment="1">
      <alignment horizontal="center" vertical="center" wrapText="1"/>
    </xf>
    <xf numFmtId="4" fontId="17" fillId="0" borderId="6" xfId="1" applyNumberFormat="1" applyFont="1" applyBorder="1" applyAlignment="1">
      <alignment horizontal="center" vertical="center" wrapText="1"/>
    </xf>
    <xf numFmtId="165" fontId="18" fillId="0" borderId="0" xfId="1" applyNumberFormat="1" applyFont="1" applyAlignment="1">
      <alignment horizontal="center" vertical="center"/>
    </xf>
    <xf numFmtId="0" fontId="17" fillId="0" borderId="8" xfId="1" applyFont="1" applyBorder="1" applyAlignment="1">
      <alignment horizontal="center"/>
    </xf>
    <xf numFmtId="0" fontId="17" fillId="0" borderId="9" xfId="1" applyFont="1" applyBorder="1" applyAlignment="1">
      <alignment horizontal="center"/>
    </xf>
    <xf numFmtId="0" fontId="1" fillId="0" borderId="0" xfId="1" applyAlignment="1">
      <alignment horizontal="center"/>
    </xf>
    <xf numFmtId="0" fontId="17" fillId="0" borderId="7" xfId="1" applyFont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/>
    </xf>
    <xf numFmtId="4" fontId="18" fillId="0" borderId="62" xfId="1" applyNumberFormat="1" applyFont="1" applyBorder="1" applyAlignment="1">
      <alignment horizontal="center" vertical="center"/>
    </xf>
    <xf numFmtId="4" fontId="18" fillId="0" borderId="63" xfId="1" applyNumberFormat="1" applyFont="1" applyBorder="1" applyAlignment="1">
      <alignment horizontal="center" vertical="center"/>
    </xf>
    <xf numFmtId="4" fontId="18" fillId="0" borderId="28" xfId="1" applyNumberFormat="1" applyFont="1" applyBorder="1" applyAlignment="1">
      <alignment horizontal="center" vertical="center"/>
    </xf>
    <xf numFmtId="4" fontId="18" fillId="0" borderId="29" xfId="1" applyNumberFormat="1" applyFont="1" applyBorder="1" applyAlignment="1">
      <alignment horizontal="center" vertical="center"/>
    </xf>
    <xf numFmtId="0" fontId="1" fillId="0" borderId="56" xfId="1" applyBorder="1" applyAlignment="1">
      <alignment horizontal="center"/>
    </xf>
    <xf numFmtId="0" fontId="8" fillId="0" borderId="44" xfId="2" applyFont="1" applyBorder="1" applyAlignment="1">
      <alignment horizontal="left"/>
    </xf>
    <xf numFmtId="0" fontId="8" fillId="0" borderId="45" xfId="2" applyFont="1" applyBorder="1" applyAlignment="1">
      <alignment horizontal="left"/>
    </xf>
    <xf numFmtId="0" fontId="8" fillId="0" borderId="51" xfId="2" applyFont="1" applyBorder="1" applyAlignment="1">
      <alignment horizontal="center"/>
    </xf>
    <xf numFmtId="0" fontId="8" fillId="0" borderId="52" xfId="2" applyFont="1" applyBorder="1" applyAlignment="1">
      <alignment horizontal="center"/>
    </xf>
    <xf numFmtId="0" fontId="20" fillId="0" borderId="11" xfId="2" applyFont="1" applyBorder="1" applyAlignment="1">
      <alignment horizontal="center"/>
    </xf>
    <xf numFmtId="0" fontId="20" fillId="0" borderId="12" xfId="2" applyFont="1" applyBorder="1" applyAlignment="1">
      <alignment horizontal="center"/>
    </xf>
    <xf numFmtId="0" fontId="20" fillId="0" borderId="13" xfId="2" applyFont="1" applyBorder="1" applyAlignment="1">
      <alignment horizontal="center"/>
    </xf>
    <xf numFmtId="0" fontId="8" fillId="0" borderId="31" xfId="2" applyFont="1" applyBorder="1" applyAlignment="1">
      <alignment horizontal="center" vertical="center" wrapText="1"/>
    </xf>
    <xf numFmtId="0" fontId="8" fillId="0" borderId="33" xfId="2" applyFont="1" applyBorder="1" applyAlignment="1">
      <alignment horizontal="center" vertical="center" wrapText="1"/>
    </xf>
    <xf numFmtId="0" fontId="8" fillId="0" borderId="32" xfId="2" applyFont="1" applyBorder="1" applyAlignment="1">
      <alignment horizontal="center" vertical="center"/>
    </xf>
    <xf numFmtId="0" fontId="8" fillId="0" borderId="34" xfId="2" applyFont="1" applyBorder="1" applyAlignment="1">
      <alignment horizontal="center" vertical="center"/>
    </xf>
    <xf numFmtId="49" fontId="8" fillId="0" borderId="16" xfId="2" applyNumberFormat="1" applyFont="1" applyBorder="1" applyAlignment="1">
      <alignment horizontal="center" vertical="center" wrapText="1"/>
    </xf>
    <xf numFmtId="49" fontId="8" fillId="0" borderId="17" xfId="2" applyNumberFormat="1" applyFont="1" applyBorder="1" applyAlignment="1">
      <alignment horizontal="center" vertical="center" wrapText="1"/>
    </xf>
    <xf numFmtId="49" fontId="8" fillId="0" borderId="19" xfId="2" applyNumberFormat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center" wrapText="1"/>
    </xf>
    <xf numFmtId="0" fontId="9" fillId="0" borderId="59" xfId="1" applyFont="1" applyBorder="1" applyAlignment="1">
      <alignment horizontal="center" wrapText="1"/>
    </xf>
    <xf numFmtId="0" fontId="9" fillId="0" borderId="15" xfId="1" applyFont="1" applyBorder="1" applyAlignment="1">
      <alignment horizontal="center" wrapText="1"/>
    </xf>
    <xf numFmtId="0" fontId="9" fillId="0" borderId="51" xfId="1" applyFont="1" applyBorder="1" applyAlignment="1">
      <alignment horizontal="center" wrapText="1"/>
    </xf>
    <xf numFmtId="0" fontId="9" fillId="0" borderId="60" xfId="1" applyFont="1" applyBorder="1" applyAlignment="1">
      <alignment horizontal="center" wrapText="1"/>
    </xf>
    <xf numFmtId="0" fontId="9" fillId="0" borderId="61" xfId="1" applyFont="1" applyBorder="1" applyAlignment="1">
      <alignment horizontal="center" wrapText="1"/>
    </xf>
    <xf numFmtId="0" fontId="1" fillId="0" borderId="6" xfId="1" applyFill="1" applyBorder="1" applyAlignment="1">
      <alignment vertical="center"/>
    </xf>
  </cellXfs>
  <cellStyles count="6">
    <cellStyle name="Normal" xfId="0" builtinId="0"/>
    <cellStyle name="Normal 2" xfId="1" xr:uid="{37C86672-349B-493C-80DC-92BDF2BC091C}"/>
    <cellStyle name="Normal 2 2" xfId="3" xr:uid="{4736B4B3-93EE-48B6-AC5F-DC88E72D79DF}"/>
    <cellStyle name="Normal 2 2 2" xfId="5" xr:uid="{88A1C568-59DF-4C38-8B10-A86D5D69274E}"/>
    <cellStyle name="Normal 3" xfId="4" xr:uid="{A82BA71C-8696-4766-9C62-11F972616C52}"/>
    <cellStyle name="Normal_buz final" xfId="2" xr:uid="{551C7441-7C7E-4357-BE3E-EA17B3C0995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7"/>
  <sheetViews>
    <sheetView workbookViewId="0">
      <selection activeCell="H12" sqref="H12"/>
    </sheetView>
  </sheetViews>
  <sheetFormatPr defaultColWidth="9.140625" defaultRowHeight="10.5" x14ac:dyDescent="0.15"/>
  <cols>
    <col min="1" max="1" width="9" style="9" customWidth="1"/>
    <col min="2" max="2" width="38.28515625" style="1" customWidth="1"/>
    <col min="3" max="3" width="12.28515625" style="1" customWidth="1"/>
    <col min="4" max="4" width="12.5703125" style="1" customWidth="1"/>
    <col min="5" max="5" width="12.140625" style="1" customWidth="1"/>
    <col min="6" max="6" width="9.140625" style="7" customWidth="1"/>
    <col min="7" max="7" width="9.140625" style="1" customWidth="1"/>
    <col min="8" max="16384" width="9.140625" style="1"/>
  </cols>
  <sheetData>
    <row r="1" spans="1:6" ht="11.25" thickBot="1" x14ac:dyDescent="0.2"/>
    <row r="2" spans="1:6" ht="17.25" customHeight="1" thickBot="1" x14ac:dyDescent="0.2">
      <c r="E2" s="140" t="s">
        <v>0</v>
      </c>
      <c r="F2" s="140" t="s">
        <v>0</v>
      </c>
    </row>
    <row r="3" spans="1:6" ht="11.25" thickBot="1" x14ac:dyDescent="0.2"/>
    <row r="4" spans="1:6" ht="24.75" customHeight="1" x14ac:dyDescent="0.15">
      <c r="A4" s="141" t="s">
        <v>1</v>
      </c>
      <c r="B4" s="142" t="s">
        <v>1</v>
      </c>
      <c r="C4" s="142" t="s">
        <v>1</v>
      </c>
      <c r="D4" s="142" t="s">
        <v>1</v>
      </c>
      <c r="E4" s="142" t="s">
        <v>1</v>
      </c>
      <c r="F4" s="143" t="s">
        <v>1</v>
      </c>
    </row>
    <row r="5" spans="1:6" ht="55.5" customHeight="1" x14ac:dyDescent="0.15">
      <c r="A5" s="113"/>
      <c r="B5" s="2" t="s">
        <v>2</v>
      </c>
      <c r="C5" s="2" t="s">
        <v>3</v>
      </c>
      <c r="D5" s="2" t="s">
        <v>383</v>
      </c>
      <c r="E5" s="2" t="s">
        <v>384</v>
      </c>
      <c r="F5" s="2" t="s">
        <v>4</v>
      </c>
    </row>
    <row r="6" spans="1:6" ht="13.5" customHeight="1" x14ac:dyDescent="0.15">
      <c r="A6" s="72" t="s">
        <v>5</v>
      </c>
      <c r="B6" s="3" t="s">
        <v>6</v>
      </c>
      <c r="C6" s="78">
        <f>SUM(C7,C12,C16,C32)</f>
        <v>6364000</v>
      </c>
      <c r="D6" s="66">
        <f>SUM(D7,D12,D16,D32)</f>
        <v>736991.89000000048</v>
      </c>
      <c r="E6" s="66">
        <f>SUM(E7,E12,E16,E32)</f>
        <v>6051271.9200000009</v>
      </c>
      <c r="F6" s="66">
        <f>E6/C6*100</f>
        <v>95.08598240100568</v>
      </c>
    </row>
    <row r="7" spans="1:6" ht="10.5" customHeight="1" x14ac:dyDescent="0.15">
      <c r="A7" s="72" t="s">
        <v>7</v>
      </c>
      <c r="B7" s="3" t="s">
        <v>8</v>
      </c>
      <c r="C7" s="78">
        <f>SUM(C8:C11)</f>
        <v>5262000</v>
      </c>
      <c r="D7" s="78">
        <f t="shared" ref="D7:E7" si="0">SUM(D8:D11)</f>
        <v>645133.24000000046</v>
      </c>
      <c r="E7" s="78">
        <f t="shared" si="0"/>
        <v>5093796.4200000009</v>
      </c>
      <c r="F7" s="66">
        <f t="shared" ref="F7:F54" si="1">E7/C7*100</f>
        <v>96.803428734321557</v>
      </c>
    </row>
    <row r="8" spans="1:6" x14ac:dyDescent="0.15">
      <c r="A8" s="114" t="s">
        <v>9</v>
      </c>
      <c r="B8" s="73" t="s">
        <v>10</v>
      </c>
      <c r="C8" s="79">
        <v>4142000</v>
      </c>
      <c r="D8" s="79">
        <v>531430.46000000043</v>
      </c>
      <c r="E8" s="79">
        <v>4197911.1100000003</v>
      </c>
      <c r="F8" s="74">
        <f t="shared" si="1"/>
        <v>101.34985779816515</v>
      </c>
    </row>
    <row r="9" spans="1:6" x14ac:dyDescent="0.15">
      <c r="A9" s="114" t="s">
        <v>11</v>
      </c>
      <c r="B9" s="115" t="s">
        <v>12</v>
      </c>
      <c r="C9" s="79">
        <v>650000</v>
      </c>
      <c r="D9" s="79">
        <v>63970.799999999988</v>
      </c>
      <c r="E9" s="79">
        <v>491334.82</v>
      </c>
      <c r="F9" s="74">
        <f t="shared" si="1"/>
        <v>75.589972307692307</v>
      </c>
    </row>
    <row r="10" spans="1:6" x14ac:dyDescent="0.15">
      <c r="A10" s="114" t="s">
        <v>13</v>
      </c>
      <c r="B10" s="115" t="s">
        <v>14</v>
      </c>
      <c r="C10" s="79">
        <v>120000</v>
      </c>
      <c r="D10" s="79">
        <v>9793.989999999998</v>
      </c>
      <c r="E10" s="79">
        <v>71393.48</v>
      </c>
      <c r="F10" s="74">
        <f t="shared" si="1"/>
        <v>59.494566666666657</v>
      </c>
    </row>
    <row r="11" spans="1:6" x14ac:dyDescent="0.15">
      <c r="A11" s="114" t="s">
        <v>15</v>
      </c>
      <c r="B11" s="115" t="s">
        <v>16</v>
      </c>
      <c r="C11" s="79">
        <v>350000</v>
      </c>
      <c r="D11" s="79">
        <v>39937.989999999991</v>
      </c>
      <c r="E11" s="79">
        <v>333157.01</v>
      </c>
      <c r="F11" s="74">
        <f t="shared" si="1"/>
        <v>95.187717142857139</v>
      </c>
    </row>
    <row r="12" spans="1:6" x14ac:dyDescent="0.15">
      <c r="A12" s="72" t="s">
        <v>17</v>
      </c>
      <c r="B12" s="3" t="s">
        <v>18</v>
      </c>
      <c r="C12" s="78">
        <f>SUM(C13:C15)</f>
        <v>82000</v>
      </c>
      <c r="D12" s="78">
        <f t="shared" ref="D12:E12" si="2">SUM(D13:D15)</f>
        <v>8580.7599999999966</v>
      </c>
      <c r="E12" s="78">
        <f t="shared" si="2"/>
        <v>64093.369999999995</v>
      </c>
      <c r="F12" s="66">
        <f>E12/C12*100</f>
        <v>78.1626463414634</v>
      </c>
    </row>
    <row r="13" spans="1:6" x14ac:dyDescent="0.15">
      <c r="A13" s="114" t="s">
        <v>19</v>
      </c>
      <c r="B13" s="115" t="s">
        <v>20</v>
      </c>
      <c r="C13" s="79">
        <v>22000</v>
      </c>
      <c r="D13" s="79">
        <v>2953.0000000000018</v>
      </c>
      <c r="E13" s="79">
        <v>19259.13</v>
      </c>
      <c r="F13" s="74">
        <f t="shared" si="1"/>
        <v>87.541499999999999</v>
      </c>
    </row>
    <row r="14" spans="1:6" x14ac:dyDescent="0.15">
      <c r="A14" s="114" t="s">
        <v>21</v>
      </c>
      <c r="B14" s="115" t="s">
        <v>22</v>
      </c>
      <c r="C14" s="79">
        <v>60000</v>
      </c>
      <c r="D14" s="79">
        <v>5627.7599999999948</v>
      </c>
      <c r="E14" s="79">
        <v>44834.239999999998</v>
      </c>
      <c r="F14" s="74">
        <f t="shared" si="1"/>
        <v>74.723733333333328</v>
      </c>
    </row>
    <row r="15" spans="1:6" x14ac:dyDescent="0.15">
      <c r="A15" s="114" t="s">
        <v>23</v>
      </c>
      <c r="B15" s="115" t="s">
        <v>24</v>
      </c>
      <c r="C15" s="81">
        <v>0</v>
      </c>
      <c r="D15" s="79">
        <v>0</v>
      </c>
      <c r="E15" s="79">
        <v>0</v>
      </c>
      <c r="F15" s="74">
        <v>0</v>
      </c>
    </row>
    <row r="16" spans="1:6" x14ac:dyDescent="0.15">
      <c r="A16" s="72" t="s">
        <v>25</v>
      </c>
      <c r="B16" s="3" t="s">
        <v>26</v>
      </c>
      <c r="C16" s="78">
        <f>SUM(C17,C22,C27,C29:C31)</f>
        <v>791000</v>
      </c>
      <c r="D16" s="78">
        <f t="shared" ref="D16:E16" si="3">SUM(D17,D22,D27,D29:D31)</f>
        <v>49325.4</v>
      </c>
      <c r="E16" s="78">
        <f t="shared" si="3"/>
        <v>745457.79</v>
      </c>
      <c r="F16" s="66">
        <f t="shared" si="1"/>
        <v>94.242451327433628</v>
      </c>
    </row>
    <row r="17" spans="1:6" x14ac:dyDescent="0.15">
      <c r="A17" s="75" t="s">
        <v>27</v>
      </c>
      <c r="B17" s="73" t="s">
        <v>28</v>
      </c>
      <c r="C17" s="81">
        <f t="shared" ref="C17" si="4">SUM(C18:C21)</f>
        <v>252000</v>
      </c>
      <c r="D17" s="81">
        <v>0</v>
      </c>
      <c r="E17" s="81">
        <v>139788.71</v>
      </c>
      <c r="F17" s="74">
        <f t="shared" si="1"/>
        <v>55.471710317460307</v>
      </c>
    </row>
    <row r="18" spans="1:6" x14ac:dyDescent="0.15">
      <c r="A18" s="114" t="s">
        <v>29</v>
      </c>
      <c r="B18" s="115" t="s">
        <v>30</v>
      </c>
      <c r="C18" s="79">
        <v>200000</v>
      </c>
      <c r="D18" s="80">
        <v>0</v>
      </c>
      <c r="E18" s="79">
        <v>130954.16</v>
      </c>
      <c r="F18" s="74">
        <f t="shared" si="1"/>
        <v>65.477080000000001</v>
      </c>
    </row>
    <row r="19" spans="1:6" x14ac:dyDescent="0.15">
      <c r="A19" s="114" t="s">
        <v>31</v>
      </c>
      <c r="B19" s="115" t="s">
        <v>32</v>
      </c>
      <c r="C19" s="79">
        <v>50000</v>
      </c>
      <c r="D19" s="80">
        <v>0</v>
      </c>
      <c r="E19" s="79">
        <v>8274.5499999999993</v>
      </c>
      <c r="F19" s="74">
        <f>E19/C19*100</f>
        <v>16.549099999999999</v>
      </c>
    </row>
    <row r="20" spans="1:6" x14ac:dyDescent="0.15">
      <c r="A20" s="114" t="s">
        <v>33</v>
      </c>
      <c r="B20" s="115" t="s">
        <v>34</v>
      </c>
      <c r="C20" s="79">
        <v>2000</v>
      </c>
      <c r="D20" s="80">
        <v>0</v>
      </c>
      <c r="E20" s="79">
        <v>560</v>
      </c>
      <c r="F20" s="74">
        <f t="shared" si="1"/>
        <v>28.000000000000004</v>
      </c>
    </row>
    <row r="21" spans="1:6" x14ac:dyDescent="0.15">
      <c r="A21" s="114" t="s">
        <v>35</v>
      </c>
      <c r="B21" s="115" t="s">
        <v>36</v>
      </c>
      <c r="C21" s="79">
        <v>0</v>
      </c>
      <c r="D21" s="80">
        <v>0</v>
      </c>
      <c r="E21" s="79">
        <v>0</v>
      </c>
      <c r="F21" s="74">
        <v>0</v>
      </c>
    </row>
    <row r="22" spans="1:6" x14ac:dyDescent="0.15">
      <c r="A22" s="75" t="s">
        <v>37</v>
      </c>
      <c r="B22" s="73" t="s">
        <v>38</v>
      </c>
      <c r="C22" s="81">
        <f>SUM(C23:C25)</f>
        <v>302000</v>
      </c>
      <c r="D22" s="81">
        <f t="shared" ref="D22:E22" si="5">SUM(D23:D25)</f>
        <v>0</v>
      </c>
      <c r="E22" s="81">
        <f t="shared" si="5"/>
        <v>377927.52</v>
      </c>
      <c r="F22" s="74">
        <f t="shared" si="1"/>
        <v>125.14156291390731</v>
      </c>
    </row>
    <row r="23" spans="1:6" x14ac:dyDescent="0.15">
      <c r="A23" s="114" t="s">
        <v>39</v>
      </c>
      <c r="B23" s="115" t="s">
        <v>40</v>
      </c>
      <c r="C23" s="79">
        <v>300000</v>
      </c>
      <c r="D23" s="79">
        <v>0</v>
      </c>
      <c r="E23" s="79">
        <v>377927.52</v>
      </c>
      <c r="F23" s="74">
        <f t="shared" si="1"/>
        <v>125.97584000000002</v>
      </c>
    </row>
    <row r="24" spans="1:6" x14ac:dyDescent="0.15">
      <c r="A24" s="114" t="s">
        <v>41</v>
      </c>
      <c r="B24" s="115" t="s">
        <v>42</v>
      </c>
      <c r="C24" s="79">
        <v>1000</v>
      </c>
      <c r="D24" s="80">
        <v>0</v>
      </c>
      <c r="E24" s="80">
        <v>0</v>
      </c>
      <c r="F24" s="74">
        <f t="shared" si="1"/>
        <v>0</v>
      </c>
    </row>
    <row r="25" spans="1:6" x14ac:dyDescent="0.15">
      <c r="A25" s="114" t="s">
        <v>43</v>
      </c>
      <c r="B25" s="115" t="s">
        <v>44</v>
      </c>
      <c r="C25" s="79">
        <v>1000</v>
      </c>
      <c r="D25" s="80">
        <v>0</v>
      </c>
      <c r="E25" s="80">
        <v>0</v>
      </c>
      <c r="F25" s="74">
        <f t="shared" si="1"/>
        <v>0</v>
      </c>
    </row>
    <row r="26" spans="1:6" x14ac:dyDescent="0.15">
      <c r="A26" s="114">
        <v>71425</v>
      </c>
      <c r="B26" s="73" t="s">
        <v>101</v>
      </c>
      <c r="C26" s="79">
        <v>0</v>
      </c>
      <c r="D26" s="80">
        <v>0</v>
      </c>
      <c r="E26" s="80">
        <v>0</v>
      </c>
      <c r="F26" s="74">
        <v>0</v>
      </c>
    </row>
    <row r="27" spans="1:6" ht="18.75" customHeight="1" x14ac:dyDescent="0.15">
      <c r="A27" s="75" t="s">
        <v>45</v>
      </c>
      <c r="B27" s="73" t="s">
        <v>46</v>
      </c>
      <c r="C27" s="81">
        <v>70000</v>
      </c>
      <c r="D27" s="120">
        <v>41194.43</v>
      </c>
      <c r="E27" s="120">
        <v>83129.759999999995</v>
      </c>
      <c r="F27" s="74">
        <f t="shared" si="1"/>
        <v>118.7568</v>
      </c>
    </row>
    <row r="28" spans="1:6" x14ac:dyDescent="0.15">
      <c r="A28" s="75" t="s">
        <v>102</v>
      </c>
      <c r="B28" s="73" t="s">
        <v>103</v>
      </c>
      <c r="C28" s="81">
        <v>0</v>
      </c>
      <c r="D28" s="80">
        <v>0</v>
      </c>
      <c r="E28" s="80">
        <v>0</v>
      </c>
      <c r="F28" s="74">
        <v>0</v>
      </c>
    </row>
    <row r="29" spans="1:6" x14ac:dyDescent="0.15">
      <c r="A29" s="75" t="s">
        <v>47</v>
      </c>
      <c r="B29" s="73" t="s">
        <v>48</v>
      </c>
      <c r="C29" s="81">
        <v>0</v>
      </c>
      <c r="D29" s="80">
        <v>0</v>
      </c>
      <c r="E29" s="80">
        <v>0</v>
      </c>
      <c r="F29" s="74">
        <v>0</v>
      </c>
    </row>
    <row r="30" spans="1:6" x14ac:dyDescent="0.15">
      <c r="A30" s="75" t="s">
        <v>49</v>
      </c>
      <c r="B30" s="73" t="s">
        <v>50</v>
      </c>
      <c r="C30" s="79">
        <v>165000</v>
      </c>
      <c r="D30" s="80">
        <v>8130.97</v>
      </c>
      <c r="E30" s="79">
        <v>144611.79999999999</v>
      </c>
      <c r="F30" s="74">
        <f t="shared" si="1"/>
        <v>87.643515151515146</v>
      </c>
    </row>
    <row r="31" spans="1:6" x14ac:dyDescent="0.15">
      <c r="A31" s="75" t="s">
        <v>51</v>
      </c>
      <c r="B31" s="73" t="s">
        <v>52</v>
      </c>
      <c r="C31" s="79">
        <v>2000</v>
      </c>
      <c r="D31" s="80">
        <v>0</v>
      </c>
      <c r="E31" s="80">
        <v>0</v>
      </c>
      <c r="F31" s="74">
        <f t="shared" si="1"/>
        <v>0</v>
      </c>
    </row>
    <row r="32" spans="1:6" x14ac:dyDescent="0.15">
      <c r="A32" s="72" t="s">
        <v>53</v>
      </c>
      <c r="B32" s="3" t="s">
        <v>54</v>
      </c>
      <c r="C32" s="78">
        <f>SUM(C33:C36)</f>
        <v>229000</v>
      </c>
      <c r="D32" s="78">
        <f t="shared" ref="D32:E32" si="6">SUM(D33:D36)</f>
        <v>33952.49</v>
      </c>
      <c r="E32" s="78">
        <f t="shared" si="6"/>
        <v>147924.34</v>
      </c>
      <c r="F32" s="66">
        <f>E32/C32*100</f>
        <v>64.595781659388635</v>
      </c>
    </row>
    <row r="33" spans="1:6" ht="21" x14ac:dyDescent="0.15">
      <c r="A33" s="114" t="s">
        <v>55</v>
      </c>
      <c r="B33" s="115" t="s">
        <v>56</v>
      </c>
      <c r="C33" s="79">
        <v>100000</v>
      </c>
      <c r="D33" s="79">
        <v>31502.41</v>
      </c>
      <c r="E33" s="79">
        <v>108398.47</v>
      </c>
      <c r="F33" s="74">
        <f t="shared" si="1"/>
        <v>108.39847</v>
      </c>
    </row>
    <row r="34" spans="1:6" x14ac:dyDescent="0.15">
      <c r="A34" s="114" t="s">
        <v>57</v>
      </c>
      <c r="B34" s="115" t="s">
        <v>58</v>
      </c>
      <c r="C34" s="79">
        <v>4000</v>
      </c>
      <c r="D34" s="79">
        <v>23.17</v>
      </c>
      <c r="E34" s="79">
        <v>1792.28</v>
      </c>
      <c r="F34" s="74">
        <f t="shared" si="1"/>
        <v>44.806999999999995</v>
      </c>
    </row>
    <row r="35" spans="1:6" ht="21" x14ac:dyDescent="0.15">
      <c r="A35" s="114" t="s">
        <v>59</v>
      </c>
      <c r="B35" s="115" t="s">
        <v>60</v>
      </c>
      <c r="C35" s="79">
        <v>25000</v>
      </c>
      <c r="D35" s="126">
        <v>1943.66</v>
      </c>
      <c r="E35" s="126">
        <v>17915.78</v>
      </c>
      <c r="F35" s="74">
        <f t="shared" si="1"/>
        <v>71.663119999999992</v>
      </c>
    </row>
    <row r="36" spans="1:6" x14ac:dyDescent="0.15">
      <c r="A36" s="114" t="s">
        <v>61</v>
      </c>
      <c r="B36" s="115" t="s">
        <v>54</v>
      </c>
      <c r="C36" s="79">
        <v>100000</v>
      </c>
      <c r="D36" s="79">
        <v>483.25</v>
      </c>
      <c r="E36" s="79">
        <v>19817.810000000001</v>
      </c>
      <c r="F36" s="74">
        <f t="shared" si="1"/>
        <v>19.817810000000001</v>
      </c>
    </row>
    <row r="37" spans="1:6" ht="12" customHeight="1" x14ac:dyDescent="0.15">
      <c r="A37" s="72" t="s">
        <v>62</v>
      </c>
      <c r="B37" s="3" t="s">
        <v>63</v>
      </c>
      <c r="C37" s="78">
        <f>SUM(C40+C38)</f>
        <v>1020000</v>
      </c>
      <c r="D37" s="78">
        <f t="shared" ref="D37:E37" si="7">SUM(D40+D38)</f>
        <v>635.59</v>
      </c>
      <c r="E37" s="78">
        <f t="shared" si="7"/>
        <v>33840.6</v>
      </c>
      <c r="F37" s="66">
        <f t="shared" si="1"/>
        <v>3.3177058823529415</v>
      </c>
    </row>
    <row r="38" spans="1:6" x14ac:dyDescent="0.15">
      <c r="A38" s="114" t="s">
        <v>64</v>
      </c>
      <c r="B38" s="115" t="s">
        <v>65</v>
      </c>
      <c r="C38" s="74">
        <f>SUM(C39)</f>
        <v>1020000</v>
      </c>
      <c r="D38" s="74">
        <f>SUM(D39)</f>
        <v>635.59</v>
      </c>
      <c r="E38" s="74">
        <f>SUM(E39)</f>
        <v>33840.6</v>
      </c>
      <c r="F38" s="74">
        <f t="shared" si="1"/>
        <v>3.3177058823529415</v>
      </c>
    </row>
    <row r="39" spans="1:6" x14ac:dyDescent="0.15">
      <c r="A39" s="114" t="s">
        <v>66</v>
      </c>
      <c r="B39" s="115" t="s">
        <v>67</v>
      </c>
      <c r="C39" s="81">
        <v>1020000</v>
      </c>
      <c r="D39" s="80">
        <v>635.59</v>
      </c>
      <c r="E39" s="80">
        <v>33840.6</v>
      </c>
      <c r="F39" s="74">
        <f t="shared" si="1"/>
        <v>3.3177058823529415</v>
      </c>
    </row>
    <row r="40" spans="1:6" x14ac:dyDescent="0.15">
      <c r="A40" s="114" t="s">
        <v>68</v>
      </c>
      <c r="B40" s="115" t="s">
        <v>69</v>
      </c>
      <c r="C40" s="81">
        <v>0</v>
      </c>
      <c r="D40" s="74">
        <v>0</v>
      </c>
      <c r="E40" s="81">
        <v>0</v>
      </c>
      <c r="F40" s="74">
        <v>0</v>
      </c>
    </row>
    <row r="41" spans="1:6" ht="21" x14ac:dyDescent="0.15">
      <c r="A41" s="72" t="s">
        <v>70</v>
      </c>
      <c r="B41" s="3" t="s">
        <v>71</v>
      </c>
      <c r="C41" s="78">
        <f>SUM(C42:C43)</f>
        <v>2411000</v>
      </c>
      <c r="D41" s="78">
        <f t="shared" ref="D41:E41" si="8">SUM(D42:D43)</f>
        <v>0</v>
      </c>
      <c r="E41" s="78">
        <f t="shared" si="8"/>
        <v>2332853.1</v>
      </c>
      <c r="F41" s="66">
        <f t="shared" si="1"/>
        <v>96.758734964744917</v>
      </c>
    </row>
    <row r="42" spans="1:6" x14ac:dyDescent="0.15">
      <c r="A42" s="114" t="s">
        <v>72</v>
      </c>
      <c r="B42" s="115" t="s">
        <v>73</v>
      </c>
      <c r="C42" s="81">
        <v>11000</v>
      </c>
      <c r="D42" s="81">
        <v>0</v>
      </c>
      <c r="E42" s="81">
        <v>0</v>
      </c>
      <c r="F42" s="74">
        <f t="shared" si="1"/>
        <v>0</v>
      </c>
    </row>
    <row r="43" spans="1:6" x14ac:dyDescent="0.15">
      <c r="A43" s="114" t="s">
        <v>74</v>
      </c>
      <c r="B43" s="115" t="s">
        <v>75</v>
      </c>
      <c r="C43" s="81">
        <v>2400000</v>
      </c>
      <c r="D43" s="79">
        <v>0</v>
      </c>
      <c r="E43" s="79">
        <v>2332853.1</v>
      </c>
      <c r="F43" s="74">
        <f t="shared" si="1"/>
        <v>97.202212500000002</v>
      </c>
    </row>
    <row r="44" spans="1:6" x14ac:dyDescent="0.15">
      <c r="A44" s="72" t="s">
        <v>76</v>
      </c>
      <c r="B44" s="3" t="s">
        <v>77</v>
      </c>
      <c r="C44" s="78">
        <f>SUM(C45,C48)</f>
        <v>6005000</v>
      </c>
      <c r="D44" s="78">
        <f t="shared" ref="D44:E44" si="9">SUM(D45,D48)</f>
        <v>596898.59</v>
      </c>
      <c r="E44" s="78">
        <f t="shared" si="9"/>
        <v>5229894.74</v>
      </c>
      <c r="F44" s="66">
        <f t="shared" si="1"/>
        <v>87.092335387177357</v>
      </c>
    </row>
    <row r="45" spans="1:6" x14ac:dyDescent="0.15">
      <c r="A45" s="76" t="s">
        <v>78</v>
      </c>
      <c r="B45" s="3" t="s">
        <v>79</v>
      </c>
      <c r="C45" s="78">
        <f>SUM(C46:C47)</f>
        <v>300000</v>
      </c>
      <c r="D45" s="66">
        <f>+D46+D47</f>
        <v>3655.62</v>
      </c>
      <c r="E45" s="66">
        <f>+E46+E47</f>
        <v>159626.47999999998</v>
      </c>
      <c r="F45" s="74">
        <f t="shared" si="1"/>
        <v>53.208826666666667</v>
      </c>
    </row>
    <row r="46" spans="1:6" x14ac:dyDescent="0.15">
      <c r="A46" s="114" t="s">
        <v>80</v>
      </c>
      <c r="B46" s="115" t="s">
        <v>81</v>
      </c>
      <c r="C46" s="81">
        <v>100000</v>
      </c>
      <c r="D46" s="79">
        <v>0</v>
      </c>
      <c r="E46" s="79">
        <v>77700</v>
      </c>
      <c r="F46" s="74">
        <f t="shared" si="1"/>
        <v>77.7</v>
      </c>
    </row>
    <row r="47" spans="1:6" x14ac:dyDescent="0.15">
      <c r="A47" s="114" t="s">
        <v>82</v>
      </c>
      <c r="B47" s="115" t="s">
        <v>83</v>
      </c>
      <c r="C47" s="81">
        <v>200000</v>
      </c>
      <c r="D47" s="79">
        <v>3655.62</v>
      </c>
      <c r="E47" s="79">
        <v>81926.48</v>
      </c>
      <c r="F47" s="74">
        <f t="shared" si="1"/>
        <v>40.963239999999992</v>
      </c>
    </row>
    <row r="48" spans="1:6" x14ac:dyDescent="0.15">
      <c r="A48" s="76" t="s">
        <v>84</v>
      </c>
      <c r="B48" s="3" t="s">
        <v>85</v>
      </c>
      <c r="C48" s="78">
        <f>SUM(C49:C51)</f>
        <v>5705000</v>
      </c>
      <c r="D48" s="78">
        <f t="shared" ref="D48:E48" si="10">SUM(D49:D51)</f>
        <v>593242.97</v>
      </c>
      <c r="E48" s="78">
        <f t="shared" si="10"/>
        <v>5070268.26</v>
      </c>
      <c r="F48" s="66">
        <f t="shared" si="1"/>
        <v>88.874114986853641</v>
      </c>
    </row>
    <row r="49" spans="1:6" x14ac:dyDescent="0.15">
      <c r="A49" s="114" t="s">
        <v>86</v>
      </c>
      <c r="B49" s="115" t="s">
        <v>87</v>
      </c>
      <c r="C49" s="81">
        <v>1560000</v>
      </c>
      <c r="D49" s="79">
        <v>191798.21</v>
      </c>
      <c r="E49" s="79">
        <v>1556837.06</v>
      </c>
      <c r="F49" s="74">
        <f t="shared" si="1"/>
        <v>99.797247435897447</v>
      </c>
    </row>
    <row r="50" spans="1:6" x14ac:dyDescent="0.15">
      <c r="A50" s="114" t="s">
        <v>88</v>
      </c>
      <c r="B50" s="115" t="s">
        <v>89</v>
      </c>
      <c r="C50" s="81">
        <v>45000</v>
      </c>
      <c r="D50" s="79">
        <v>0</v>
      </c>
      <c r="E50" s="79">
        <v>40533.050000000003</v>
      </c>
      <c r="F50" s="74">
        <f t="shared" si="1"/>
        <v>90.073444444444448</v>
      </c>
    </row>
    <row r="51" spans="1:6" x14ac:dyDescent="0.15">
      <c r="A51" s="114" t="s">
        <v>90</v>
      </c>
      <c r="B51" s="115" t="s">
        <v>91</v>
      </c>
      <c r="C51" s="81">
        <v>4100000</v>
      </c>
      <c r="D51" s="79">
        <v>401444.76</v>
      </c>
      <c r="E51" s="79">
        <v>3472898.15</v>
      </c>
      <c r="F51" s="74">
        <f t="shared" si="1"/>
        <v>84.704832926829269</v>
      </c>
    </row>
    <row r="52" spans="1:6" x14ac:dyDescent="0.15">
      <c r="A52" s="72" t="s">
        <v>92</v>
      </c>
      <c r="B52" s="3" t="s">
        <v>93</v>
      </c>
      <c r="C52" s="78">
        <f>SUM(C53)</f>
        <v>100000</v>
      </c>
      <c r="D52" s="78">
        <f t="shared" ref="D52:E52" si="11">SUM(D53)</f>
        <v>0</v>
      </c>
      <c r="E52" s="78">
        <f t="shared" si="11"/>
        <v>0</v>
      </c>
      <c r="F52" s="66">
        <f t="shared" si="1"/>
        <v>0</v>
      </c>
    </row>
    <row r="53" spans="1:6" x14ac:dyDescent="0.15">
      <c r="A53" s="114" t="s">
        <v>94</v>
      </c>
      <c r="B53" s="115" t="s">
        <v>93</v>
      </c>
      <c r="C53" s="81">
        <v>100000</v>
      </c>
      <c r="D53" s="74">
        <v>0</v>
      </c>
      <c r="E53" s="81">
        <v>0</v>
      </c>
      <c r="F53" s="74">
        <f t="shared" si="1"/>
        <v>0</v>
      </c>
    </row>
    <row r="54" spans="1:6" x14ac:dyDescent="0.15">
      <c r="A54" s="114" t="s">
        <v>95</v>
      </c>
      <c r="B54" s="115" t="s">
        <v>96</v>
      </c>
      <c r="C54" s="81">
        <f>SUM(C55:C56)</f>
        <v>100000</v>
      </c>
      <c r="D54" s="81">
        <f>SUM(D55:D56)</f>
        <v>0</v>
      </c>
      <c r="E54" s="81">
        <f>SUM(E55:E56)</f>
        <v>0</v>
      </c>
      <c r="F54" s="74">
        <f t="shared" si="1"/>
        <v>0</v>
      </c>
    </row>
    <row r="55" spans="1:6" x14ac:dyDescent="0.15">
      <c r="A55" s="75" t="s">
        <v>104</v>
      </c>
      <c r="B55" s="73" t="s">
        <v>106</v>
      </c>
      <c r="C55" s="81">
        <v>100000</v>
      </c>
      <c r="D55" s="74">
        <v>0</v>
      </c>
      <c r="E55" s="81">
        <v>0</v>
      </c>
      <c r="F55" s="74">
        <v>0</v>
      </c>
    </row>
    <row r="56" spans="1:6" x14ac:dyDescent="0.15">
      <c r="A56" s="75" t="s">
        <v>105</v>
      </c>
      <c r="B56" s="73" t="s">
        <v>107</v>
      </c>
      <c r="C56" s="81">
        <v>0</v>
      </c>
      <c r="D56" s="74">
        <v>0</v>
      </c>
      <c r="E56" s="81">
        <v>0</v>
      </c>
      <c r="F56" s="74">
        <v>0</v>
      </c>
    </row>
    <row r="57" spans="1:6" x14ac:dyDescent="0.15">
      <c r="A57" s="114" t="s">
        <v>97</v>
      </c>
      <c r="B57" s="115" t="s">
        <v>98</v>
      </c>
      <c r="C57" s="81">
        <v>0</v>
      </c>
      <c r="D57" s="74">
        <v>0</v>
      </c>
      <c r="E57" s="81">
        <v>0</v>
      </c>
      <c r="F57" s="74">
        <v>0</v>
      </c>
    </row>
    <row r="58" spans="1:6" ht="15.75" customHeight="1" x14ac:dyDescent="0.15">
      <c r="A58" s="72" t="s">
        <v>99</v>
      </c>
      <c r="B58" s="3" t="s">
        <v>100</v>
      </c>
      <c r="C58" s="78">
        <f>SUM(C6,C37,C41,C44,C52)</f>
        <v>15900000</v>
      </c>
      <c r="D58" s="78">
        <f t="shared" ref="D58" si="12">SUM(D6,D37,D41,D44,D52)</f>
        <v>1334526.0700000003</v>
      </c>
      <c r="E58" s="78">
        <f>SUM(E6,E37,E41,E44,E52)</f>
        <v>13647860.360000001</v>
      </c>
      <c r="F58" s="66">
        <f>E58/C58*100</f>
        <v>85.835599748427683</v>
      </c>
    </row>
    <row r="60" spans="1:6" x14ac:dyDescent="0.15">
      <c r="A60" s="1"/>
      <c r="E60" s="18"/>
      <c r="F60" s="1"/>
    </row>
    <row r="61" spans="1:6" x14ac:dyDescent="0.15">
      <c r="A61" s="1"/>
      <c r="E61" s="18"/>
      <c r="F61" s="1"/>
    </row>
    <row r="62" spans="1:6" x14ac:dyDescent="0.15">
      <c r="A62" s="1"/>
      <c r="E62" s="18"/>
      <c r="F62" s="1"/>
    </row>
    <row r="63" spans="1:6" x14ac:dyDescent="0.15">
      <c r="A63" s="1"/>
      <c r="E63" s="18"/>
      <c r="F63" s="1"/>
    </row>
    <row r="64" spans="1:6" x14ac:dyDescent="0.15">
      <c r="A64" s="1"/>
      <c r="F64" s="1"/>
    </row>
    <row r="65" spans="1:6" x14ac:dyDescent="0.15">
      <c r="A65" s="1"/>
      <c r="E65" s="18"/>
      <c r="F65" s="1"/>
    </row>
    <row r="66" spans="1:6" s="1" customFormat="1" x14ac:dyDescent="0.15"/>
    <row r="67" spans="1:6" s="1" customFormat="1" x14ac:dyDescent="0.15"/>
    <row r="68" spans="1:6" s="1" customFormat="1" x14ac:dyDescent="0.15"/>
    <row r="69" spans="1:6" s="1" customFormat="1" x14ac:dyDescent="0.15"/>
    <row r="70" spans="1:6" s="1" customFormat="1" x14ac:dyDescent="0.15"/>
    <row r="71" spans="1:6" s="1" customFormat="1" x14ac:dyDescent="0.15"/>
    <row r="72" spans="1:6" s="1" customFormat="1" x14ac:dyDescent="0.15"/>
    <row r="73" spans="1:6" s="1" customFormat="1" x14ac:dyDescent="0.15"/>
    <row r="74" spans="1:6" s="1" customFormat="1" x14ac:dyDescent="0.15"/>
    <row r="75" spans="1:6" s="1" customFormat="1" x14ac:dyDescent="0.15"/>
    <row r="76" spans="1:6" s="1" customFormat="1" x14ac:dyDescent="0.15"/>
    <row r="77" spans="1:6" s="1" customFormat="1" x14ac:dyDescent="0.15"/>
    <row r="78" spans="1:6" s="1" customFormat="1" x14ac:dyDescent="0.15"/>
    <row r="79" spans="1:6" s="1" customFormat="1" x14ac:dyDescent="0.15"/>
    <row r="80" spans="1:6" s="1" customFormat="1" x14ac:dyDescent="0.15"/>
    <row r="81" spans="1:6" s="1" customFormat="1" x14ac:dyDescent="0.15"/>
    <row r="82" spans="1:6" s="1" customFormat="1" x14ac:dyDescent="0.15"/>
    <row r="83" spans="1:6" s="1" customFormat="1" x14ac:dyDescent="0.15"/>
    <row r="84" spans="1:6" s="1" customFormat="1" x14ac:dyDescent="0.15"/>
    <row r="85" spans="1:6" s="1" customFormat="1" x14ac:dyDescent="0.15"/>
    <row r="86" spans="1:6" s="1" customFormat="1" x14ac:dyDescent="0.15"/>
    <row r="87" spans="1:6" s="1" customFormat="1" x14ac:dyDescent="0.15"/>
    <row r="88" spans="1:6" s="1" customFormat="1" x14ac:dyDescent="0.15"/>
    <row r="89" spans="1:6" x14ac:dyDescent="0.15">
      <c r="A89" s="1"/>
      <c r="B89" s="18"/>
      <c r="F89" s="1"/>
    </row>
    <row r="90" spans="1:6" s="1" customFormat="1" x14ac:dyDescent="0.15"/>
    <row r="91" spans="1:6" x14ac:dyDescent="0.15">
      <c r="A91" s="1"/>
      <c r="B91" s="18"/>
      <c r="F91" s="1"/>
    </row>
    <row r="92" spans="1:6" s="1" customFormat="1" x14ac:dyDescent="0.15"/>
    <row r="93" spans="1:6" x14ac:dyDescent="0.15">
      <c r="A93" s="1"/>
      <c r="B93" s="18"/>
      <c r="F93" s="1"/>
    </row>
    <row r="94" spans="1:6" s="1" customFormat="1" x14ac:dyDescent="0.15"/>
    <row r="95" spans="1:6" s="1" customFormat="1" x14ac:dyDescent="0.15"/>
    <row r="96" spans="1:6" x14ac:dyDescent="0.15">
      <c r="A96" s="1"/>
      <c r="B96" s="18"/>
      <c r="F96" s="1"/>
    </row>
    <row r="97" spans="1:6" x14ac:dyDescent="0.15">
      <c r="A97" s="1"/>
      <c r="B97" s="18"/>
      <c r="F97" s="1"/>
    </row>
    <row r="98" spans="1:6" s="1" customFormat="1" x14ac:dyDescent="0.15"/>
    <row r="99" spans="1:6" s="1" customFormat="1" x14ac:dyDescent="0.15"/>
    <row r="100" spans="1:6" s="1" customFormat="1" x14ac:dyDescent="0.15"/>
    <row r="101" spans="1:6" x14ac:dyDescent="0.15">
      <c r="A101" s="1"/>
      <c r="B101" s="18"/>
      <c r="F101" s="1"/>
    </row>
    <row r="102" spans="1:6" x14ac:dyDescent="0.15">
      <c r="A102" s="1"/>
      <c r="B102" s="18"/>
      <c r="F102" s="1"/>
    </row>
    <row r="103" spans="1:6" s="1" customFormat="1" x14ac:dyDescent="0.15"/>
    <row r="104" spans="1:6" s="1" customFormat="1" x14ac:dyDescent="0.15"/>
    <row r="105" spans="1:6" s="1" customFormat="1" x14ac:dyDescent="0.15"/>
    <row r="106" spans="1:6" s="1" customFormat="1" x14ac:dyDescent="0.15"/>
    <row r="107" spans="1:6" s="1" customFormat="1" x14ac:dyDescent="0.15"/>
    <row r="108" spans="1:6" s="1" customFormat="1" x14ac:dyDescent="0.15"/>
    <row r="109" spans="1:6" s="1" customFormat="1" x14ac:dyDescent="0.15"/>
    <row r="110" spans="1:6" s="1" customFormat="1" x14ac:dyDescent="0.15"/>
    <row r="111" spans="1:6" s="1" customFormat="1" x14ac:dyDescent="0.15"/>
    <row r="112" spans="1:6" s="1" customFormat="1" x14ac:dyDescent="0.15"/>
    <row r="113" s="1" customFormat="1" x14ac:dyDescent="0.15"/>
    <row r="114" s="1" customFormat="1" x14ac:dyDescent="0.15"/>
    <row r="115" s="1" customFormat="1" x14ac:dyDescent="0.15"/>
    <row r="116" s="1" customFormat="1" x14ac:dyDescent="0.15"/>
    <row r="117" s="1" customFormat="1" x14ac:dyDescent="0.15"/>
  </sheetData>
  <mergeCells count="2">
    <mergeCell ref="E2:F2"/>
    <mergeCell ref="A4:F4"/>
  </mergeCells>
  <pageMargins left="0.70866141732283472" right="0.70866141732283472" top="0.74803149606299213" bottom="0.74803149606299213" header="0.31496062992125984" footer="0.31496062992125984"/>
  <pageSetup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68"/>
  <sheetViews>
    <sheetView zoomScale="90" zoomScaleNormal="90" workbookViewId="0">
      <selection activeCell="H9" sqref="H9"/>
    </sheetView>
  </sheetViews>
  <sheetFormatPr defaultColWidth="9.140625" defaultRowHeight="10.5" x14ac:dyDescent="0.15"/>
  <cols>
    <col min="1" max="1" width="9" style="1" customWidth="1"/>
    <col min="2" max="2" width="36" style="1" customWidth="1"/>
    <col min="3" max="3" width="12.140625" style="1" customWidth="1"/>
    <col min="4" max="4" width="11.5703125" style="1" customWidth="1"/>
    <col min="5" max="5" width="16" style="1" customWidth="1"/>
    <col min="6" max="6" width="8.42578125" style="1" customWidth="1"/>
    <col min="7" max="7" width="9.140625" style="1"/>
    <col min="8" max="8" width="15.7109375" style="1" customWidth="1"/>
    <col min="9" max="11" width="9.140625" style="1"/>
    <col min="12" max="12" width="11.42578125" style="1" customWidth="1"/>
    <col min="13" max="16384" width="9.140625" style="1"/>
  </cols>
  <sheetData>
    <row r="1" spans="1:6" ht="11.25" thickBot="1" x14ac:dyDescent="0.2"/>
    <row r="2" spans="1:6" ht="18.75" customHeight="1" thickBot="1" x14ac:dyDescent="0.2">
      <c r="E2" s="140" t="s">
        <v>307</v>
      </c>
      <c r="F2" s="140" t="s">
        <v>307</v>
      </c>
    </row>
    <row r="3" spans="1:6" ht="11.25" thickBot="1" x14ac:dyDescent="0.2"/>
    <row r="4" spans="1:6" ht="26.45" customHeight="1" x14ac:dyDescent="0.15">
      <c r="A4" s="144" t="s">
        <v>1</v>
      </c>
      <c r="B4" s="145" t="s">
        <v>1</v>
      </c>
      <c r="C4" s="145" t="s">
        <v>1</v>
      </c>
      <c r="D4" s="145" t="s">
        <v>1</v>
      </c>
      <c r="E4" s="145" t="s">
        <v>1</v>
      </c>
      <c r="F4" s="146" t="s">
        <v>1</v>
      </c>
    </row>
    <row r="5" spans="1:6" ht="56.25" customHeight="1" x14ac:dyDescent="0.15">
      <c r="A5" s="14" t="s">
        <v>306</v>
      </c>
      <c r="B5" s="2" t="s">
        <v>305</v>
      </c>
      <c r="C5" s="2" t="s">
        <v>3</v>
      </c>
      <c r="D5" s="2" t="s">
        <v>382</v>
      </c>
      <c r="E5" s="2" t="s">
        <v>381</v>
      </c>
      <c r="F5" s="6" t="s">
        <v>304</v>
      </c>
    </row>
    <row r="6" spans="1:6" s="12" customFormat="1" x14ac:dyDescent="0.15">
      <c r="A6" s="14" t="s">
        <v>303</v>
      </c>
      <c r="B6" s="3" t="s">
        <v>301</v>
      </c>
      <c r="C6" s="66">
        <f>SUM(C7,C59:C60)</f>
        <v>11026000</v>
      </c>
      <c r="D6" s="66">
        <f>SUM(D7,D59:D60)</f>
        <v>998224.16000000015</v>
      </c>
      <c r="E6" s="66">
        <f>SUM(E7,E59:E60)</f>
        <v>7469466.6300000008</v>
      </c>
      <c r="F6" s="16">
        <f>E6/C6*100</f>
        <v>67.744119626337749</v>
      </c>
    </row>
    <row r="7" spans="1:6" s="12" customFormat="1" x14ac:dyDescent="0.15">
      <c r="A7" s="14" t="s">
        <v>302</v>
      </c>
      <c r="B7" s="3" t="s">
        <v>301</v>
      </c>
      <c r="C7" s="66">
        <f>SUM(C8,C14,C22,C29,C39,C43,C46,C50,C51)</f>
        <v>5639414.2800000003</v>
      </c>
      <c r="D7" s="66">
        <f>SUM(D8,D14,D22,D29,D39,D43,D46,D50,D51)</f>
        <v>411278.28000000014</v>
      </c>
      <c r="E7" s="66">
        <f>SUM(E8,E14,E22,E29,E39,E43,E46,E50,E51)</f>
        <v>2901861.7300000004</v>
      </c>
      <c r="F7" s="16">
        <f t="shared" ref="F7:F20" si="0">E7/C7*100</f>
        <v>51.456792956164954</v>
      </c>
    </row>
    <row r="8" spans="1:6" x14ac:dyDescent="0.15">
      <c r="A8" s="14" t="s">
        <v>300</v>
      </c>
      <c r="B8" s="3" t="s">
        <v>129</v>
      </c>
      <c r="C8" s="66">
        <f>SUM(C9:C13)</f>
        <v>3705640.2800000003</v>
      </c>
      <c r="D8" s="66">
        <f t="shared" ref="D8:E8" si="1">SUM(D9:D13)</f>
        <v>251981.16</v>
      </c>
      <c r="E8" s="66">
        <f t="shared" si="1"/>
        <v>2026099.3</v>
      </c>
      <c r="F8" s="16">
        <f t="shared" si="0"/>
        <v>54.676092305430132</v>
      </c>
    </row>
    <row r="9" spans="1:6" x14ac:dyDescent="0.15">
      <c r="A9" s="116" t="s">
        <v>299</v>
      </c>
      <c r="B9" s="115" t="s">
        <v>298</v>
      </c>
      <c r="C9" s="79">
        <v>3112021.33</v>
      </c>
      <c r="D9" s="79">
        <v>251588.53</v>
      </c>
      <c r="E9" s="79">
        <v>2018345.27</v>
      </c>
      <c r="F9" s="8">
        <f t="shared" si="0"/>
        <v>64.856408615939657</v>
      </c>
    </row>
    <row r="10" spans="1:6" x14ac:dyDescent="0.15">
      <c r="A10" s="116" t="s">
        <v>297</v>
      </c>
      <c r="B10" s="115" t="s">
        <v>296</v>
      </c>
      <c r="C10" s="79">
        <v>148737.26999999999</v>
      </c>
      <c r="D10" s="79">
        <v>0</v>
      </c>
      <c r="E10" s="79">
        <v>1172.3499999999999</v>
      </c>
      <c r="F10" s="8">
        <f t="shared" si="0"/>
        <v>0.78820190796832568</v>
      </c>
    </row>
    <row r="11" spans="1:6" x14ac:dyDescent="0.15">
      <c r="A11" s="116" t="s">
        <v>295</v>
      </c>
      <c r="B11" s="115" t="s">
        <v>294</v>
      </c>
      <c r="C11" s="79">
        <v>382381.17</v>
      </c>
      <c r="D11" s="79">
        <v>0</v>
      </c>
      <c r="E11" s="79">
        <v>3188.46</v>
      </c>
      <c r="F11" s="8">
        <f t="shared" si="0"/>
        <v>0.83384336106299384</v>
      </c>
    </row>
    <row r="12" spans="1:6" x14ac:dyDescent="0.15">
      <c r="A12" s="116" t="s">
        <v>293</v>
      </c>
      <c r="B12" s="115" t="s">
        <v>292</v>
      </c>
      <c r="C12" s="79">
        <v>43176.1</v>
      </c>
      <c r="D12" s="79">
        <v>392.63</v>
      </c>
      <c r="E12" s="79">
        <v>3393.22</v>
      </c>
      <c r="F12" s="8">
        <f t="shared" si="0"/>
        <v>7.859023858106684</v>
      </c>
    </row>
    <row r="13" spans="1:6" x14ac:dyDescent="0.15">
      <c r="A13" s="116" t="s">
        <v>291</v>
      </c>
      <c r="B13" s="115" t="s">
        <v>290</v>
      </c>
      <c r="C13" s="79">
        <v>19324.41</v>
      </c>
      <c r="D13" s="79">
        <v>0</v>
      </c>
      <c r="E13" s="79">
        <v>0</v>
      </c>
      <c r="F13" s="8">
        <f t="shared" si="0"/>
        <v>0</v>
      </c>
    </row>
    <row r="14" spans="1:6" s="12" customFormat="1" x14ac:dyDescent="0.15">
      <c r="A14" s="14" t="s">
        <v>289</v>
      </c>
      <c r="B14" s="3" t="s">
        <v>122</v>
      </c>
      <c r="C14" s="66">
        <f>SUM(C15:C21)</f>
        <v>123600</v>
      </c>
      <c r="D14" s="66">
        <f t="shared" ref="D14:E14" si="2">SUM(D15:D21)</f>
        <v>11517.4</v>
      </c>
      <c r="E14" s="66">
        <f t="shared" si="2"/>
        <v>87526.200000000012</v>
      </c>
      <c r="F14" s="16">
        <f t="shared" si="0"/>
        <v>70.814077669902915</v>
      </c>
    </row>
    <row r="15" spans="1:6" x14ac:dyDescent="0.15">
      <c r="A15" s="116" t="s">
        <v>288</v>
      </c>
      <c r="B15" s="115" t="s">
        <v>287</v>
      </c>
      <c r="C15" s="79">
        <v>0</v>
      </c>
      <c r="D15" s="79">
        <v>0</v>
      </c>
      <c r="E15" s="79">
        <v>0</v>
      </c>
      <c r="F15" s="8">
        <v>0</v>
      </c>
    </row>
    <row r="16" spans="1:6" x14ac:dyDescent="0.15">
      <c r="A16" s="116" t="s">
        <v>286</v>
      </c>
      <c r="B16" s="115" t="s">
        <v>285</v>
      </c>
      <c r="C16" s="79">
        <v>0</v>
      </c>
      <c r="D16" s="79">
        <v>0</v>
      </c>
      <c r="E16" s="79">
        <v>0</v>
      </c>
      <c r="F16" s="8">
        <v>0</v>
      </c>
    </row>
    <row r="17" spans="1:10" x14ac:dyDescent="0.15">
      <c r="A17" s="116" t="s">
        <v>284</v>
      </c>
      <c r="B17" s="115" t="s">
        <v>283</v>
      </c>
      <c r="C17" s="79">
        <v>0</v>
      </c>
      <c r="D17" s="79">
        <v>0</v>
      </c>
      <c r="E17" s="79">
        <v>0</v>
      </c>
      <c r="F17" s="8">
        <v>0</v>
      </c>
    </row>
    <row r="18" spans="1:10" x14ac:dyDescent="0.15">
      <c r="A18" s="116" t="s">
        <v>282</v>
      </c>
      <c r="B18" s="115" t="s">
        <v>281</v>
      </c>
      <c r="C18" s="79">
        <v>0</v>
      </c>
      <c r="D18" s="79">
        <v>0</v>
      </c>
      <c r="E18" s="79">
        <v>0</v>
      </c>
      <c r="F18" s="8">
        <v>0</v>
      </c>
    </row>
    <row r="19" spans="1:10" x14ac:dyDescent="0.15">
      <c r="A19" s="116" t="s">
        <v>280</v>
      </c>
      <c r="B19" s="115" t="s">
        <v>279</v>
      </c>
      <c r="C19" s="79">
        <v>1000</v>
      </c>
      <c r="D19" s="79">
        <v>0</v>
      </c>
      <c r="E19" s="79">
        <v>0</v>
      </c>
      <c r="F19" s="8">
        <f t="shared" si="0"/>
        <v>0</v>
      </c>
    </row>
    <row r="20" spans="1:10" x14ac:dyDescent="0.15">
      <c r="A20" s="116" t="s">
        <v>278</v>
      </c>
      <c r="B20" s="115" t="s">
        <v>277</v>
      </c>
      <c r="C20" s="79">
        <v>81600</v>
      </c>
      <c r="D20" s="79">
        <v>6800</v>
      </c>
      <c r="E20" s="79">
        <v>49354.400000000001</v>
      </c>
      <c r="F20" s="8">
        <f t="shared" si="0"/>
        <v>60.483333333333334</v>
      </c>
    </row>
    <row r="21" spans="1:10" x14ac:dyDescent="0.15">
      <c r="A21" s="116" t="s">
        <v>276</v>
      </c>
      <c r="B21" s="115" t="s">
        <v>52</v>
      </c>
      <c r="C21" s="79">
        <v>41000</v>
      </c>
      <c r="D21" s="79">
        <v>4717.3999999999996</v>
      </c>
      <c r="E21" s="79">
        <v>38171.800000000003</v>
      </c>
      <c r="F21" s="8">
        <f>E21/C21*100</f>
        <v>93.101951219512202</v>
      </c>
    </row>
    <row r="22" spans="1:10" s="12" customFormat="1" x14ac:dyDescent="0.15">
      <c r="A22" s="14" t="s">
        <v>275</v>
      </c>
      <c r="B22" s="3" t="s">
        <v>121</v>
      </c>
      <c r="C22" s="66">
        <f>SUM(C23:C28)</f>
        <v>163200</v>
      </c>
      <c r="D22" s="66">
        <f t="shared" ref="D22:E22" si="3">SUM(D23:D28)</f>
        <v>9205.2800000000007</v>
      </c>
      <c r="E22" s="66">
        <f t="shared" si="3"/>
        <v>72710.430000000008</v>
      </c>
      <c r="F22" s="16">
        <f>E22/C22*100</f>
        <v>44.552959558823538</v>
      </c>
    </row>
    <row r="23" spans="1:10" x14ac:dyDescent="0.15">
      <c r="A23" s="116" t="s">
        <v>274</v>
      </c>
      <c r="B23" s="115" t="s">
        <v>273</v>
      </c>
      <c r="C23" s="79">
        <v>24000</v>
      </c>
      <c r="D23" s="79">
        <v>1899.63</v>
      </c>
      <c r="E23" s="79">
        <v>6136.93</v>
      </c>
      <c r="F23" s="8">
        <f t="shared" ref="F23:F38" si="4">E23/C23*100</f>
        <v>25.570541666666667</v>
      </c>
    </row>
    <row r="24" spans="1:10" x14ac:dyDescent="0.15">
      <c r="A24" s="116" t="s">
        <v>272</v>
      </c>
      <c r="B24" s="115" t="s">
        <v>271</v>
      </c>
      <c r="C24" s="79">
        <v>0</v>
      </c>
      <c r="D24" s="79">
        <v>0</v>
      </c>
      <c r="E24" s="79">
        <v>0</v>
      </c>
      <c r="F24" s="8">
        <v>0</v>
      </c>
    </row>
    <row r="25" spans="1:10" x14ac:dyDescent="0.15">
      <c r="A25" s="116" t="s">
        <v>270</v>
      </c>
      <c r="B25" s="115" t="s">
        <v>269</v>
      </c>
      <c r="C25" s="79">
        <v>9200</v>
      </c>
      <c r="D25" s="79">
        <v>1617.55</v>
      </c>
      <c r="E25" s="79">
        <v>7029.97</v>
      </c>
      <c r="F25" s="8">
        <f t="shared" si="4"/>
        <v>76.412717391304355</v>
      </c>
    </row>
    <row r="26" spans="1:10" x14ac:dyDescent="0.15">
      <c r="A26" s="116" t="s">
        <v>268</v>
      </c>
      <c r="B26" s="115" t="s">
        <v>267</v>
      </c>
      <c r="C26" s="79">
        <v>49000</v>
      </c>
      <c r="D26" s="79">
        <v>1013.05</v>
      </c>
      <c r="E26" s="79">
        <v>18312.95</v>
      </c>
      <c r="F26" s="8">
        <f t="shared" si="4"/>
        <v>37.373367346938778</v>
      </c>
    </row>
    <row r="27" spans="1:10" x14ac:dyDescent="0.15">
      <c r="A27" s="116" t="s">
        <v>266</v>
      </c>
      <c r="B27" s="115" t="s">
        <v>265</v>
      </c>
      <c r="C27" s="79">
        <v>80000</v>
      </c>
      <c r="D27" s="79">
        <v>4675.05</v>
      </c>
      <c r="E27" s="79">
        <v>41230.58</v>
      </c>
      <c r="F27" s="8">
        <f t="shared" si="4"/>
        <v>51.538225000000004</v>
      </c>
    </row>
    <row r="28" spans="1:10" x14ac:dyDescent="0.15">
      <c r="A28" s="116" t="s">
        <v>264</v>
      </c>
      <c r="B28" s="115" t="s">
        <v>263</v>
      </c>
      <c r="C28" s="79">
        <v>1000</v>
      </c>
      <c r="D28" s="79">
        <v>0</v>
      </c>
      <c r="E28" s="79">
        <v>0</v>
      </c>
      <c r="F28" s="8">
        <f t="shared" si="4"/>
        <v>0</v>
      </c>
    </row>
    <row r="29" spans="1:10" s="12" customFormat="1" x14ac:dyDescent="0.15">
      <c r="A29" s="14" t="s">
        <v>262</v>
      </c>
      <c r="B29" s="3" t="s">
        <v>120</v>
      </c>
      <c r="C29" s="66">
        <f>SUM(C30:C38)</f>
        <v>855274</v>
      </c>
      <c r="D29" s="66">
        <f t="shared" ref="D29" si="5">SUM(D30:D38)</f>
        <v>48069.95</v>
      </c>
      <c r="E29" s="66">
        <f>SUM(E30:E38)</f>
        <v>307050.26</v>
      </c>
      <c r="F29" s="16">
        <f t="shared" si="4"/>
        <v>35.900806057473986</v>
      </c>
      <c r="J29" s="68"/>
    </row>
    <row r="30" spans="1:10" x14ac:dyDescent="0.15">
      <c r="A30" s="116" t="s">
        <v>261</v>
      </c>
      <c r="B30" s="115" t="s">
        <v>260</v>
      </c>
      <c r="C30" s="79">
        <v>42000</v>
      </c>
      <c r="D30" s="79">
        <v>6814.05</v>
      </c>
      <c r="E30" s="79">
        <v>26285.56</v>
      </c>
      <c r="F30" s="8">
        <f t="shared" si="4"/>
        <v>62.584666666666664</v>
      </c>
    </row>
    <row r="31" spans="1:10" x14ac:dyDescent="0.15">
      <c r="A31" s="116" t="s">
        <v>259</v>
      </c>
      <c r="B31" s="115" t="s">
        <v>258</v>
      </c>
      <c r="C31" s="79">
        <v>16500</v>
      </c>
      <c r="D31" s="79">
        <v>5371.83</v>
      </c>
      <c r="E31" s="79">
        <v>13850.45</v>
      </c>
      <c r="F31" s="8">
        <f t="shared" si="4"/>
        <v>83.942121212121208</v>
      </c>
    </row>
    <row r="32" spans="1:10" x14ac:dyDescent="0.15">
      <c r="A32" s="116" t="s">
        <v>257</v>
      </c>
      <c r="B32" s="115" t="s">
        <v>256</v>
      </c>
      <c r="C32" s="79">
        <v>12000</v>
      </c>
      <c r="D32" s="79">
        <v>1048.23</v>
      </c>
      <c r="E32" s="79">
        <v>11582.74</v>
      </c>
      <c r="F32" s="8">
        <f t="shared" si="4"/>
        <v>96.522833333333338</v>
      </c>
    </row>
    <row r="33" spans="1:6" x14ac:dyDescent="0.15">
      <c r="A33" s="116" t="s">
        <v>255</v>
      </c>
      <c r="B33" s="115" t="s">
        <v>254</v>
      </c>
      <c r="C33" s="79">
        <v>9000</v>
      </c>
      <c r="D33" s="79">
        <v>927.74</v>
      </c>
      <c r="E33" s="79">
        <f>7307.08+4.5</f>
        <v>7311.58</v>
      </c>
      <c r="F33" s="8">
        <f t="shared" si="4"/>
        <v>81.239777777777775</v>
      </c>
    </row>
    <row r="34" spans="1:6" x14ac:dyDescent="0.15">
      <c r="A34" s="116" t="s">
        <v>253</v>
      </c>
      <c r="B34" s="115" t="s">
        <v>252</v>
      </c>
      <c r="C34" s="79">
        <v>0</v>
      </c>
      <c r="D34" s="79">
        <v>0</v>
      </c>
      <c r="E34" s="79">
        <v>0</v>
      </c>
      <c r="F34" s="8">
        <v>0</v>
      </c>
    </row>
    <row r="35" spans="1:6" x14ac:dyDescent="0.15">
      <c r="A35" s="116" t="s">
        <v>251</v>
      </c>
      <c r="B35" s="115" t="s">
        <v>250</v>
      </c>
      <c r="C35" s="79">
        <v>1000</v>
      </c>
      <c r="D35" s="79">
        <v>0</v>
      </c>
      <c r="E35" s="79">
        <v>707.85</v>
      </c>
      <c r="F35" s="8">
        <f t="shared" si="4"/>
        <v>70.784999999999997</v>
      </c>
    </row>
    <row r="36" spans="1:6" x14ac:dyDescent="0.15">
      <c r="A36" s="116" t="s">
        <v>249</v>
      </c>
      <c r="B36" s="115" t="s">
        <v>248</v>
      </c>
      <c r="C36" s="79">
        <v>675174</v>
      </c>
      <c r="D36" s="79">
        <v>25188.6</v>
      </c>
      <c r="E36" s="79">
        <v>211558.57</v>
      </c>
      <c r="F36" s="8">
        <f t="shared" si="4"/>
        <v>31.333933178706523</v>
      </c>
    </row>
    <row r="37" spans="1:6" x14ac:dyDescent="0.15">
      <c r="A37" s="116" t="s">
        <v>247</v>
      </c>
      <c r="B37" s="115" t="s">
        <v>246</v>
      </c>
      <c r="C37" s="79">
        <v>2000</v>
      </c>
      <c r="D37" s="79">
        <v>0</v>
      </c>
      <c r="E37" s="79">
        <v>0</v>
      </c>
      <c r="F37" s="8">
        <v>0</v>
      </c>
    </row>
    <row r="38" spans="1:6" x14ac:dyDescent="0.15">
      <c r="A38" s="116" t="s">
        <v>245</v>
      </c>
      <c r="B38" s="115" t="s">
        <v>244</v>
      </c>
      <c r="C38" s="79">
        <v>97600</v>
      </c>
      <c r="D38" s="79">
        <v>8719.5</v>
      </c>
      <c r="E38" s="79">
        <v>35753.51</v>
      </c>
      <c r="F38" s="8">
        <f t="shared" si="4"/>
        <v>36.632694672131151</v>
      </c>
    </row>
    <row r="39" spans="1:6" s="12" customFormat="1" x14ac:dyDescent="0.15">
      <c r="A39" s="14" t="s">
        <v>243</v>
      </c>
      <c r="B39" s="3" t="s">
        <v>119</v>
      </c>
      <c r="C39" s="66">
        <f>SUM(C40:C42)</f>
        <v>84000</v>
      </c>
      <c r="D39" s="66">
        <f t="shared" ref="D39:E39" si="6">SUM(D40:D42)</f>
        <v>2337.7800000000002</v>
      </c>
      <c r="E39" s="66">
        <f t="shared" si="6"/>
        <v>22042.86</v>
      </c>
      <c r="F39" s="16">
        <f>E39/C39*100</f>
        <v>26.241500000000002</v>
      </c>
    </row>
    <row r="40" spans="1:6" x14ac:dyDescent="0.15">
      <c r="A40" s="116" t="s">
        <v>242</v>
      </c>
      <c r="B40" s="115" t="s">
        <v>241</v>
      </c>
      <c r="C40" s="79">
        <v>0</v>
      </c>
      <c r="D40" s="79">
        <v>0</v>
      </c>
      <c r="E40" s="79">
        <v>0</v>
      </c>
      <c r="F40" s="8">
        <v>0</v>
      </c>
    </row>
    <row r="41" spans="1:6" x14ac:dyDescent="0.15">
      <c r="A41" s="116" t="s">
        <v>240</v>
      </c>
      <c r="B41" s="115" t="s">
        <v>239</v>
      </c>
      <c r="C41" s="79">
        <v>0</v>
      </c>
      <c r="D41" s="79">
        <v>0</v>
      </c>
      <c r="E41" s="79">
        <v>0</v>
      </c>
      <c r="F41" s="8">
        <v>0</v>
      </c>
    </row>
    <row r="42" spans="1:6" x14ac:dyDescent="0.15">
      <c r="A42" s="116" t="s">
        <v>238</v>
      </c>
      <c r="B42" s="115" t="s">
        <v>237</v>
      </c>
      <c r="C42" s="79">
        <v>84000</v>
      </c>
      <c r="D42" s="79">
        <v>2337.7800000000002</v>
      </c>
      <c r="E42" s="79">
        <v>22042.86</v>
      </c>
      <c r="F42" s="8">
        <v>0</v>
      </c>
    </row>
    <row r="43" spans="1:6" s="12" customFormat="1" x14ac:dyDescent="0.15">
      <c r="A43" s="14" t="s">
        <v>236</v>
      </c>
      <c r="B43" s="3" t="s">
        <v>118</v>
      </c>
      <c r="C43" s="66">
        <f>+C44+C45</f>
        <v>25000</v>
      </c>
      <c r="D43" s="66">
        <f t="shared" ref="D43:E43" si="7">+D44+D45</f>
        <v>1424.96</v>
      </c>
      <c r="E43" s="66">
        <f t="shared" si="7"/>
        <v>13271.2</v>
      </c>
      <c r="F43" s="16">
        <f>E43/C43*100</f>
        <v>53.084800000000001</v>
      </c>
    </row>
    <row r="44" spans="1:6" x14ac:dyDescent="0.15">
      <c r="A44" s="116" t="s">
        <v>235</v>
      </c>
      <c r="B44" s="115" t="s">
        <v>234</v>
      </c>
      <c r="C44" s="79">
        <v>25000</v>
      </c>
      <c r="D44" s="79">
        <v>1424.96</v>
      </c>
      <c r="E44" s="79">
        <v>13271.2</v>
      </c>
      <c r="F44" s="8">
        <f>E44/C44*100</f>
        <v>53.084800000000001</v>
      </c>
    </row>
    <row r="45" spans="1:6" x14ac:dyDescent="0.15">
      <c r="A45" s="116" t="s">
        <v>233</v>
      </c>
      <c r="B45" s="115" t="s">
        <v>232</v>
      </c>
      <c r="C45" s="79">
        <v>0</v>
      </c>
      <c r="D45" s="79">
        <v>0</v>
      </c>
      <c r="E45" s="80">
        <v>0</v>
      </c>
      <c r="F45" s="8">
        <v>0</v>
      </c>
    </row>
    <row r="46" spans="1:6" s="12" customFormat="1" x14ac:dyDescent="0.15">
      <c r="A46" s="14" t="s">
        <v>231</v>
      </c>
      <c r="B46" s="3" t="s">
        <v>117</v>
      </c>
      <c r="C46" s="82">
        <f>+C47+C49+C48</f>
        <v>2400</v>
      </c>
      <c r="D46" s="82">
        <f>+D47+D49+D48</f>
        <v>198.78</v>
      </c>
      <c r="E46" s="82">
        <f>+E47+E49+E48</f>
        <v>1555.5</v>
      </c>
      <c r="F46" s="16">
        <f>E46/C46*100</f>
        <v>64.8125</v>
      </c>
    </row>
    <row r="47" spans="1:6" x14ac:dyDescent="0.15">
      <c r="A47" s="116" t="s">
        <v>230</v>
      </c>
      <c r="B47" s="115" t="s">
        <v>229</v>
      </c>
      <c r="C47" s="79">
        <v>2400</v>
      </c>
      <c r="D47" s="79">
        <v>198.78</v>
      </c>
      <c r="E47" s="79">
        <v>1555.5</v>
      </c>
      <c r="F47" s="8">
        <f>E47/C47*100</f>
        <v>64.8125</v>
      </c>
    </row>
    <row r="48" spans="1:6" x14ac:dyDescent="0.15">
      <c r="A48" s="116" t="s">
        <v>228</v>
      </c>
      <c r="B48" s="115" t="s">
        <v>227</v>
      </c>
      <c r="C48" s="79">
        <v>0</v>
      </c>
      <c r="D48" s="79">
        <v>0</v>
      </c>
      <c r="E48" s="79">
        <v>0</v>
      </c>
      <c r="F48" s="8">
        <v>0</v>
      </c>
    </row>
    <row r="49" spans="1:12" x14ac:dyDescent="0.15">
      <c r="A49" s="116" t="s">
        <v>226</v>
      </c>
      <c r="B49" s="115" t="s">
        <v>225</v>
      </c>
      <c r="C49" s="79">
        <v>0</v>
      </c>
      <c r="D49" s="79">
        <v>0</v>
      </c>
      <c r="E49" s="79">
        <v>0</v>
      </c>
      <c r="F49" s="8">
        <v>0</v>
      </c>
    </row>
    <row r="50" spans="1:12" s="12" customFormat="1" x14ac:dyDescent="0.15">
      <c r="A50" s="14" t="s">
        <v>224</v>
      </c>
      <c r="B50" s="3" t="s">
        <v>116</v>
      </c>
      <c r="C50" s="66">
        <v>360000</v>
      </c>
      <c r="D50" s="82">
        <v>50232</v>
      </c>
      <c r="E50" s="82">
        <v>177729.05</v>
      </c>
      <c r="F50" s="16">
        <f t="shared" ref="F50:F56" si="8">E50/C50*100</f>
        <v>49.369180555555552</v>
      </c>
    </row>
    <row r="51" spans="1:12" s="12" customFormat="1" x14ac:dyDescent="0.15">
      <c r="A51" s="14" t="s">
        <v>223</v>
      </c>
      <c r="B51" s="3" t="s">
        <v>115</v>
      </c>
      <c r="C51" s="66">
        <f>SUM(C52:C58)</f>
        <v>320300</v>
      </c>
      <c r="D51" s="66">
        <f t="shared" ref="D51:E51" si="9">SUM(D52:D58)</f>
        <v>36310.97</v>
      </c>
      <c r="E51" s="66">
        <f t="shared" si="9"/>
        <v>193876.93</v>
      </c>
      <c r="F51" s="16">
        <f t="shared" si="8"/>
        <v>60.529793943178269</v>
      </c>
      <c r="H51" s="68"/>
    </row>
    <row r="52" spans="1:12" x14ac:dyDescent="0.15">
      <c r="A52" s="116" t="s">
        <v>222</v>
      </c>
      <c r="B52" s="115" t="s">
        <v>221</v>
      </c>
      <c r="C52" s="79">
        <v>139000</v>
      </c>
      <c r="D52" s="79">
        <v>34124.050000000003</v>
      </c>
      <c r="E52" s="79">
        <v>113605.91</v>
      </c>
      <c r="F52" s="8">
        <f t="shared" si="8"/>
        <v>81.730870503597117</v>
      </c>
    </row>
    <row r="53" spans="1:12" x14ac:dyDescent="0.15">
      <c r="A53" s="116" t="s">
        <v>220</v>
      </c>
      <c r="B53" s="115" t="s">
        <v>219</v>
      </c>
      <c r="C53" s="79">
        <v>30000</v>
      </c>
      <c r="D53" s="79">
        <v>753.92</v>
      </c>
      <c r="E53" s="79">
        <v>17054.080000000002</v>
      </c>
      <c r="F53" s="8">
        <f t="shared" si="8"/>
        <v>56.84693333333334</v>
      </c>
    </row>
    <row r="54" spans="1:12" x14ac:dyDescent="0.15">
      <c r="A54" s="116" t="s">
        <v>218</v>
      </c>
      <c r="B54" s="115" t="s">
        <v>217</v>
      </c>
      <c r="C54" s="79">
        <v>20000</v>
      </c>
      <c r="D54" s="79">
        <v>484</v>
      </c>
      <c r="E54" s="79">
        <v>7498.25</v>
      </c>
      <c r="F54" s="8">
        <f t="shared" si="8"/>
        <v>37.491250000000001</v>
      </c>
    </row>
    <row r="55" spans="1:12" x14ac:dyDescent="0.15">
      <c r="A55" s="116" t="s">
        <v>216</v>
      </c>
      <c r="B55" s="115" t="s">
        <v>215</v>
      </c>
      <c r="C55" s="79">
        <v>14000</v>
      </c>
      <c r="D55" s="79">
        <v>0</v>
      </c>
      <c r="E55" s="79">
        <v>11396.88</v>
      </c>
      <c r="F55" s="8">
        <f t="shared" si="8"/>
        <v>81.406285714285715</v>
      </c>
    </row>
    <row r="56" spans="1:12" x14ac:dyDescent="0.15">
      <c r="A56" s="116" t="s">
        <v>214</v>
      </c>
      <c r="B56" s="115" t="s">
        <v>213</v>
      </c>
      <c r="C56" s="79">
        <v>7800</v>
      </c>
      <c r="D56" s="79">
        <v>0</v>
      </c>
      <c r="E56" s="79">
        <v>0</v>
      </c>
      <c r="F56" s="8">
        <f t="shared" si="8"/>
        <v>0</v>
      </c>
    </row>
    <row r="57" spans="1:12" x14ac:dyDescent="0.15">
      <c r="A57" s="116" t="s">
        <v>212</v>
      </c>
      <c r="B57" s="115" t="s">
        <v>18</v>
      </c>
      <c r="C57" s="79">
        <v>0</v>
      </c>
      <c r="D57" s="79">
        <v>0</v>
      </c>
      <c r="E57" s="79">
        <v>0</v>
      </c>
      <c r="F57" s="8">
        <v>0</v>
      </c>
    </row>
    <row r="58" spans="1:12" x14ac:dyDescent="0.15">
      <c r="A58" s="116" t="s">
        <v>211</v>
      </c>
      <c r="B58" s="115" t="s">
        <v>210</v>
      </c>
      <c r="C58" s="79">
        <f>88500+21000</f>
        <v>109500</v>
      </c>
      <c r="D58" s="79">
        <v>949</v>
      </c>
      <c r="E58" s="79">
        <v>44321.81</v>
      </c>
      <c r="F58" s="8">
        <f>E58/C58*100</f>
        <v>40.476538812785385</v>
      </c>
    </row>
    <row r="59" spans="1:12" s="12" customFormat="1" x14ac:dyDescent="0.15">
      <c r="A59" s="14" t="s">
        <v>209</v>
      </c>
      <c r="B59" s="3" t="s">
        <v>113</v>
      </c>
      <c r="C59" s="66">
        <v>50000</v>
      </c>
      <c r="D59" s="82">
        <v>0</v>
      </c>
      <c r="E59" s="82">
        <v>0</v>
      </c>
      <c r="F59" s="16">
        <v>0</v>
      </c>
    </row>
    <row r="60" spans="1:12" s="12" customFormat="1" ht="21" x14ac:dyDescent="0.15">
      <c r="A60" s="14" t="s">
        <v>208</v>
      </c>
      <c r="B60" s="3" t="s">
        <v>112</v>
      </c>
      <c r="C60" s="66">
        <f>SUM(C61,C71)</f>
        <v>5336585.7200000007</v>
      </c>
      <c r="D60" s="66">
        <f t="shared" ref="D60:E60" si="10">SUM(D61,D71)</f>
        <v>586945.88</v>
      </c>
      <c r="E60" s="66">
        <f t="shared" si="10"/>
        <v>4567604.9000000004</v>
      </c>
      <c r="F60" s="16">
        <f>E60/C60*100</f>
        <v>85.590396925171092</v>
      </c>
    </row>
    <row r="61" spans="1:12" ht="21" x14ac:dyDescent="0.15">
      <c r="A61" s="14" t="s">
        <v>207</v>
      </c>
      <c r="B61" s="3" t="s">
        <v>112</v>
      </c>
      <c r="C61" s="66">
        <f>SUM(C62:C70)</f>
        <v>2313600</v>
      </c>
      <c r="D61" s="66">
        <f t="shared" ref="D61:E61" si="11">SUM(D62:D70)</f>
        <v>179439.24</v>
      </c>
      <c r="E61" s="66">
        <f t="shared" si="11"/>
        <v>1884177.02</v>
      </c>
      <c r="F61" s="16">
        <f>E61/C61*100</f>
        <v>81.439186549100967</v>
      </c>
    </row>
    <row r="62" spans="1:12" x14ac:dyDescent="0.15">
      <c r="A62" s="116" t="s">
        <v>206</v>
      </c>
      <c r="B62" s="115" t="s">
        <v>205</v>
      </c>
      <c r="C62" s="79">
        <v>0</v>
      </c>
      <c r="D62" s="79">
        <v>0</v>
      </c>
      <c r="E62" s="79">
        <v>0</v>
      </c>
      <c r="F62" s="8">
        <v>0</v>
      </c>
      <c r="H62" s="18"/>
    </row>
    <row r="63" spans="1:12" x14ac:dyDescent="0.15">
      <c r="A63" s="116" t="s">
        <v>204</v>
      </c>
      <c r="B63" s="115" t="s">
        <v>203</v>
      </c>
      <c r="C63" s="79">
        <v>14400</v>
      </c>
      <c r="D63" s="79">
        <v>2999.15</v>
      </c>
      <c r="E63" s="79">
        <v>14378.49</v>
      </c>
      <c r="F63" s="8">
        <f t="shared" ref="F63:F71" si="12">E63/C63*100</f>
        <v>99.850625000000008</v>
      </c>
      <c r="L63" s="18"/>
    </row>
    <row r="64" spans="1:12" x14ac:dyDescent="0.15">
      <c r="A64" s="116" t="s">
        <v>202</v>
      </c>
      <c r="B64" s="115" t="s">
        <v>201</v>
      </c>
      <c r="C64" s="79">
        <v>507000</v>
      </c>
      <c r="D64" s="79">
        <v>35838.800000000003</v>
      </c>
      <c r="E64" s="79">
        <v>393493.14</v>
      </c>
      <c r="F64" s="8">
        <f t="shared" si="12"/>
        <v>77.612059171597636</v>
      </c>
      <c r="L64" s="18"/>
    </row>
    <row r="65" spans="1:12" x14ac:dyDescent="0.15">
      <c r="A65" s="116" t="s">
        <v>200</v>
      </c>
      <c r="B65" s="115" t="s">
        <v>199</v>
      </c>
      <c r="C65" s="79">
        <v>10000</v>
      </c>
      <c r="D65" s="79">
        <v>734</v>
      </c>
      <c r="E65" s="79">
        <v>6344.07</v>
      </c>
      <c r="F65" s="8">
        <f t="shared" si="12"/>
        <v>63.440699999999993</v>
      </c>
      <c r="L65" s="18"/>
    </row>
    <row r="66" spans="1:12" ht="21" x14ac:dyDescent="0.15">
      <c r="A66" s="116" t="s">
        <v>198</v>
      </c>
      <c r="B66" s="115" t="s">
        <v>197</v>
      </c>
      <c r="C66" s="79">
        <v>120000</v>
      </c>
      <c r="D66" s="79">
        <v>10107.17</v>
      </c>
      <c r="E66" s="79">
        <v>77913.710000000006</v>
      </c>
      <c r="F66" s="8">
        <f t="shared" si="12"/>
        <v>64.928091666666674</v>
      </c>
      <c r="L66" s="18"/>
    </row>
    <row r="67" spans="1:12" x14ac:dyDescent="0.15">
      <c r="A67" s="116" t="s">
        <v>196</v>
      </c>
      <c r="B67" s="115" t="s">
        <v>195</v>
      </c>
      <c r="C67" s="79">
        <v>65700</v>
      </c>
      <c r="D67" s="79">
        <v>2540</v>
      </c>
      <c r="E67" s="79">
        <v>53476.9</v>
      </c>
      <c r="F67" s="8">
        <f t="shared" si="12"/>
        <v>81.395585996955873</v>
      </c>
      <c r="L67" s="18"/>
    </row>
    <row r="68" spans="1:12" x14ac:dyDescent="0.15">
      <c r="A68" s="116" t="s">
        <v>194</v>
      </c>
      <c r="B68" s="115" t="s">
        <v>193</v>
      </c>
      <c r="C68" s="79">
        <v>10000</v>
      </c>
      <c r="D68" s="79">
        <v>0</v>
      </c>
      <c r="E68" s="79">
        <v>0</v>
      </c>
      <c r="F68" s="8">
        <v>0</v>
      </c>
      <c r="L68" s="18"/>
    </row>
    <row r="69" spans="1:12" x14ac:dyDescent="0.15">
      <c r="A69" s="116" t="s">
        <v>192</v>
      </c>
      <c r="B69" s="115" t="s">
        <v>191</v>
      </c>
      <c r="C69" s="79">
        <v>55000</v>
      </c>
      <c r="D69" s="79">
        <v>7344</v>
      </c>
      <c r="E69" s="79">
        <v>37045</v>
      </c>
      <c r="F69" s="8">
        <f t="shared" si="12"/>
        <v>67.354545454545459</v>
      </c>
      <c r="L69" s="18"/>
    </row>
    <row r="70" spans="1:12" x14ac:dyDescent="0.15">
      <c r="A70" s="116" t="s">
        <v>190</v>
      </c>
      <c r="B70" s="115" t="s">
        <v>189</v>
      </c>
      <c r="C70" s="79">
        <v>1531500</v>
      </c>
      <c r="D70" s="79">
        <v>119876.12</v>
      </c>
      <c r="E70" s="79">
        <v>1301525.71</v>
      </c>
      <c r="F70" s="8">
        <f t="shared" si="12"/>
        <v>84.983722494286638</v>
      </c>
    </row>
    <row r="71" spans="1:12" s="12" customFormat="1" x14ac:dyDescent="0.15">
      <c r="A71" s="14" t="s">
        <v>188</v>
      </c>
      <c r="B71" s="3" t="s">
        <v>111</v>
      </c>
      <c r="C71" s="82">
        <f>+C72+C73+C74</f>
        <v>3022985.72</v>
      </c>
      <c r="D71" s="82">
        <f t="shared" ref="D71:E71" si="13">+D72+D73+D74</f>
        <v>407506.64</v>
      </c>
      <c r="E71" s="82">
        <f t="shared" si="13"/>
        <v>2683427.88</v>
      </c>
      <c r="F71" s="16">
        <f t="shared" si="12"/>
        <v>88.767467945564746</v>
      </c>
    </row>
    <row r="72" spans="1:12" x14ac:dyDescent="0.15">
      <c r="A72" s="116" t="s">
        <v>187</v>
      </c>
      <c r="B72" s="115" t="s">
        <v>186</v>
      </c>
      <c r="C72" s="79">
        <v>0</v>
      </c>
      <c r="D72" s="79">
        <v>0</v>
      </c>
      <c r="E72" s="79">
        <v>0</v>
      </c>
      <c r="F72" s="8">
        <v>0</v>
      </c>
    </row>
    <row r="73" spans="1:12" x14ac:dyDescent="0.15">
      <c r="A73" s="116" t="s">
        <v>185</v>
      </c>
      <c r="B73" s="115" t="s">
        <v>184</v>
      </c>
      <c r="C73" s="79">
        <v>0</v>
      </c>
      <c r="D73" s="79">
        <v>0</v>
      </c>
      <c r="E73" s="79">
        <v>0</v>
      </c>
      <c r="F73" s="8">
        <v>0</v>
      </c>
    </row>
    <row r="74" spans="1:12" x14ac:dyDescent="0.15">
      <c r="A74" s="116" t="s">
        <v>183</v>
      </c>
      <c r="B74" s="115" t="s">
        <v>182</v>
      </c>
      <c r="C74" s="79">
        <f>3022985.72</f>
        <v>3022985.72</v>
      </c>
      <c r="D74" s="79">
        <v>407506.64</v>
      </c>
      <c r="E74" s="79">
        <v>2683427.88</v>
      </c>
      <c r="F74" s="8">
        <f>E74/C74*100</f>
        <v>88.767467945564746</v>
      </c>
    </row>
    <row r="75" spans="1:12" s="12" customFormat="1" x14ac:dyDescent="0.15">
      <c r="A75" s="14" t="s">
        <v>181</v>
      </c>
      <c r="B75" s="3" t="s">
        <v>110</v>
      </c>
      <c r="C75" s="66">
        <f>+C76</f>
        <v>3069300</v>
      </c>
      <c r="D75" s="66">
        <f t="shared" ref="D75:E75" si="14">+D76</f>
        <v>68417.56</v>
      </c>
      <c r="E75" s="66">
        <f t="shared" si="14"/>
        <v>1343411.2500000002</v>
      </c>
      <c r="F75" s="16">
        <f>E75/C75*100</f>
        <v>43.76930407584792</v>
      </c>
    </row>
    <row r="76" spans="1:12" x14ac:dyDescent="0.15">
      <c r="A76" s="14" t="s">
        <v>180</v>
      </c>
      <c r="B76" s="3" t="s">
        <v>110</v>
      </c>
      <c r="C76" s="66">
        <f>SUM(C77:C83)</f>
        <v>3069300</v>
      </c>
      <c r="D76" s="66">
        <f t="shared" ref="D76:E76" si="15">SUM(D77:D83)</f>
        <v>68417.56</v>
      </c>
      <c r="E76" s="66">
        <f t="shared" si="15"/>
        <v>1343411.2500000002</v>
      </c>
      <c r="F76" s="16">
        <f>E76/C76*100</f>
        <v>43.76930407584792</v>
      </c>
    </row>
    <row r="77" spans="1:12" x14ac:dyDescent="0.15">
      <c r="A77" s="116" t="s">
        <v>179</v>
      </c>
      <c r="B77" s="115" t="s">
        <v>178</v>
      </c>
      <c r="C77" s="79">
        <v>971110</v>
      </c>
      <c r="D77" s="79">
        <v>0</v>
      </c>
      <c r="E77" s="79">
        <v>971110</v>
      </c>
      <c r="F77" s="8">
        <v>0</v>
      </c>
    </row>
    <row r="78" spans="1:12" x14ac:dyDescent="0.15">
      <c r="A78" s="116" t="s">
        <v>177</v>
      </c>
      <c r="B78" s="115" t="s">
        <v>176</v>
      </c>
      <c r="C78" s="79">
        <v>390000</v>
      </c>
      <c r="D78" s="79">
        <v>53122</v>
      </c>
      <c r="E78" s="79">
        <v>145139.62</v>
      </c>
      <c r="F78" s="8">
        <f>E78/C78*100</f>
        <v>37.215287179487177</v>
      </c>
    </row>
    <row r="79" spans="1:12" x14ac:dyDescent="0.15">
      <c r="A79" s="116" t="s">
        <v>175</v>
      </c>
      <c r="B79" s="115" t="s">
        <v>174</v>
      </c>
      <c r="C79" s="79">
        <v>884000</v>
      </c>
      <c r="D79" s="79">
        <v>0</v>
      </c>
      <c r="E79" s="79">
        <v>31747.03</v>
      </c>
      <c r="F79" s="8">
        <f>E79/C79*100</f>
        <v>3.5912929864253393</v>
      </c>
    </row>
    <row r="80" spans="1:12" x14ac:dyDescent="0.15">
      <c r="A80" s="116" t="s">
        <v>173</v>
      </c>
      <c r="B80" s="115" t="s">
        <v>172</v>
      </c>
      <c r="C80" s="79">
        <v>0</v>
      </c>
      <c r="D80" s="79">
        <v>0</v>
      </c>
      <c r="E80" s="79">
        <v>0</v>
      </c>
      <c r="F80" s="8">
        <v>0</v>
      </c>
    </row>
    <row r="81" spans="1:6" x14ac:dyDescent="0.15">
      <c r="A81" s="116" t="s">
        <v>171</v>
      </c>
      <c r="B81" s="115" t="s">
        <v>170</v>
      </c>
      <c r="C81" s="79">
        <v>203800</v>
      </c>
      <c r="D81" s="79">
        <v>4101.5600000000004</v>
      </c>
      <c r="E81" s="79">
        <v>145218.51</v>
      </c>
      <c r="F81" s="8">
        <f>E81/C81*100</f>
        <v>71.255402355250254</v>
      </c>
    </row>
    <row r="82" spans="1:6" x14ac:dyDescent="0.15">
      <c r="A82" s="116" t="s">
        <v>169</v>
      </c>
      <c r="B82" s="115" t="s">
        <v>168</v>
      </c>
      <c r="C82" s="79">
        <v>308890</v>
      </c>
      <c r="D82" s="79">
        <v>0</v>
      </c>
      <c r="E82" s="79">
        <v>0</v>
      </c>
      <c r="F82" s="8">
        <f>E82/C82*100</f>
        <v>0</v>
      </c>
    </row>
    <row r="83" spans="1:6" x14ac:dyDescent="0.15">
      <c r="A83" s="116" t="s">
        <v>167</v>
      </c>
      <c r="B83" s="115" t="s">
        <v>166</v>
      </c>
      <c r="C83" s="79">
        <v>311500</v>
      </c>
      <c r="D83" s="79">
        <v>11194</v>
      </c>
      <c r="E83" s="79">
        <v>50196.09</v>
      </c>
      <c r="F83" s="8">
        <f>E83/C83*100</f>
        <v>16.114314606741573</v>
      </c>
    </row>
    <row r="84" spans="1:6" s="12" customFormat="1" x14ac:dyDescent="0.15">
      <c r="A84" s="14" t="s">
        <v>165</v>
      </c>
      <c r="B84" s="3" t="s">
        <v>93</v>
      </c>
      <c r="C84" s="66">
        <v>0</v>
      </c>
      <c r="D84" s="82">
        <v>0</v>
      </c>
      <c r="E84" s="82">
        <v>0</v>
      </c>
      <c r="F84" s="16">
        <v>0</v>
      </c>
    </row>
    <row r="85" spans="1:6" x14ac:dyDescent="0.15">
      <c r="A85" s="14" t="s">
        <v>164</v>
      </c>
      <c r="B85" s="3" t="s">
        <v>93</v>
      </c>
      <c r="C85" s="66">
        <v>0</v>
      </c>
      <c r="D85" s="82">
        <v>0</v>
      </c>
      <c r="E85" s="82">
        <v>0</v>
      </c>
      <c r="F85" s="16">
        <v>0</v>
      </c>
    </row>
    <row r="86" spans="1:6" x14ac:dyDescent="0.15">
      <c r="A86" s="116" t="s">
        <v>163</v>
      </c>
      <c r="B86" s="115" t="s">
        <v>162</v>
      </c>
      <c r="C86" s="81">
        <v>0</v>
      </c>
      <c r="D86" s="80">
        <v>0</v>
      </c>
      <c r="E86" s="79">
        <v>0</v>
      </c>
      <c r="F86" s="8">
        <v>0</v>
      </c>
    </row>
    <row r="87" spans="1:6" x14ac:dyDescent="0.15">
      <c r="A87" s="116" t="s">
        <v>161</v>
      </c>
      <c r="B87" s="115" t="s">
        <v>160</v>
      </c>
      <c r="C87" s="81">
        <v>0</v>
      </c>
      <c r="D87" s="80">
        <v>0</v>
      </c>
      <c r="E87" s="79">
        <v>0</v>
      </c>
      <c r="F87" s="8">
        <v>0</v>
      </c>
    </row>
    <row r="88" spans="1:6" x14ac:dyDescent="0.15">
      <c r="A88" s="116" t="s">
        <v>159</v>
      </c>
      <c r="B88" s="115" t="s">
        <v>158</v>
      </c>
      <c r="C88" s="81">
        <v>0</v>
      </c>
      <c r="D88" s="80">
        <v>0</v>
      </c>
      <c r="E88" s="79">
        <v>0</v>
      </c>
      <c r="F88" s="8">
        <v>0</v>
      </c>
    </row>
    <row r="89" spans="1:6" s="12" customFormat="1" x14ac:dyDescent="0.15">
      <c r="A89" s="14" t="s">
        <v>157</v>
      </c>
      <c r="B89" s="3" t="s">
        <v>109</v>
      </c>
      <c r="C89" s="82">
        <f>+C90+C96+C93</f>
        <v>1494700</v>
      </c>
      <c r="D89" s="82">
        <f t="shared" ref="D89:E89" si="16">+D90+D96+D93</f>
        <v>220704.52</v>
      </c>
      <c r="E89" s="82">
        <f t="shared" si="16"/>
        <v>1891919.03</v>
      </c>
      <c r="F89" s="16">
        <f>E89/C89*100</f>
        <v>126.57516759215896</v>
      </c>
    </row>
    <row r="90" spans="1:6" x14ac:dyDescent="0.15">
      <c r="A90" s="14" t="s">
        <v>156</v>
      </c>
      <c r="B90" s="3" t="s">
        <v>155</v>
      </c>
      <c r="C90" s="66">
        <f>+C91</f>
        <v>251000</v>
      </c>
      <c r="D90" s="66">
        <f>+D91</f>
        <v>20883</v>
      </c>
      <c r="E90" s="66">
        <f>+E91</f>
        <v>167064</v>
      </c>
      <c r="F90" s="16">
        <f>E90/C90*100</f>
        <v>66.559362549800795</v>
      </c>
    </row>
    <row r="91" spans="1:6" x14ac:dyDescent="0.15">
      <c r="A91" s="116" t="s">
        <v>154</v>
      </c>
      <c r="B91" s="115" t="s">
        <v>153</v>
      </c>
      <c r="C91" s="81">
        <v>251000</v>
      </c>
      <c r="D91" s="79">
        <v>20883</v>
      </c>
      <c r="E91" s="79">
        <v>167064</v>
      </c>
      <c r="F91" s="46">
        <f>E91/C91*100</f>
        <v>66.559362549800795</v>
      </c>
    </row>
    <row r="92" spans="1:6" ht="21" x14ac:dyDescent="0.15">
      <c r="A92" s="116" t="s">
        <v>152</v>
      </c>
      <c r="B92" s="115" t="s">
        <v>151</v>
      </c>
      <c r="C92" s="81">
        <v>0</v>
      </c>
      <c r="D92" s="79">
        <v>0</v>
      </c>
      <c r="E92" s="79">
        <v>0</v>
      </c>
      <c r="F92" s="46">
        <v>0</v>
      </c>
    </row>
    <row r="93" spans="1:6" x14ac:dyDescent="0.15">
      <c r="A93" s="14" t="s">
        <v>150</v>
      </c>
      <c r="B93" s="3" t="s">
        <v>149</v>
      </c>
      <c r="C93" s="66">
        <v>0</v>
      </c>
      <c r="D93" s="121">
        <v>0</v>
      </c>
      <c r="E93" s="82">
        <v>0</v>
      </c>
      <c r="F93" s="47">
        <v>0</v>
      </c>
    </row>
    <row r="94" spans="1:6" x14ac:dyDescent="0.15">
      <c r="A94" s="116" t="s">
        <v>148</v>
      </c>
      <c r="B94" s="115" t="s">
        <v>147</v>
      </c>
      <c r="C94" s="81">
        <v>0</v>
      </c>
      <c r="D94" s="121">
        <v>0</v>
      </c>
      <c r="E94" s="79">
        <v>0</v>
      </c>
      <c r="F94" s="48">
        <v>0</v>
      </c>
    </row>
    <row r="95" spans="1:6" x14ac:dyDescent="0.15">
      <c r="A95" s="116" t="s">
        <v>146</v>
      </c>
      <c r="B95" s="115" t="s">
        <v>145</v>
      </c>
      <c r="C95" s="117">
        <v>0</v>
      </c>
      <c r="D95" s="80">
        <v>0</v>
      </c>
      <c r="E95" s="79">
        <v>0</v>
      </c>
      <c r="F95" s="81">
        <v>0</v>
      </c>
    </row>
    <row r="96" spans="1:6" x14ac:dyDescent="0.15">
      <c r="A96" s="14" t="s">
        <v>144</v>
      </c>
      <c r="B96" s="3" t="s">
        <v>142</v>
      </c>
      <c r="C96" s="83">
        <f>+C97</f>
        <v>1243700</v>
      </c>
      <c r="D96" s="83">
        <f t="shared" ref="D96:E96" si="17">+D97</f>
        <v>199821.52</v>
      </c>
      <c r="E96" s="66">
        <f t="shared" si="17"/>
        <v>1724855.03</v>
      </c>
      <c r="F96" s="66">
        <f>E96/C96*100</f>
        <v>138.68738682962129</v>
      </c>
    </row>
    <row r="97" spans="1:6" x14ac:dyDescent="0.15">
      <c r="A97" s="116" t="s">
        <v>143</v>
      </c>
      <c r="B97" s="115" t="s">
        <v>142</v>
      </c>
      <c r="C97" s="118">
        <v>1243700</v>
      </c>
      <c r="D97" s="79">
        <v>199821.52</v>
      </c>
      <c r="E97" s="79">
        <v>1724855.03</v>
      </c>
      <c r="F97" s="74">
        <f>E97/C97*100</f>
        <v>138.68738682962129</v>
      </c>
    </row>
    <row r="98" spans="1:6" s="12" customFormat="1" x14ac:dyDescent="0.15">
      <c r="A98" s="14" t="s">
        <v>141</v>
      </c>
      <c r="B98" s="3" t="s">
        <v>140</v>
      </c>
      <c r="C98" s="83">
        <f>+C99+C100+C101</f>
        <v>310000</v>
      </c>
      <c r="D98" s="83">
        <f t="shared" ref="D98:E98" si="18">+D99+D100+D101</f>
        <v>29844.47</v>
      </c>
      <c r="E98" s="66">
        <f t="shared" si="18"/>
        <v>247208.49</v>
      </c>
      <c r="F98" s="66">
        <f>E98/C98*100</f>
        <v>79.744674193548377</v>
      </c>
    </row>
    <row r="99" spans="1:6" x14ac:dyDescent="0.15">
      <c r="A99" s="116" t="s">
        <v>139</v>
      </c>
      <c r="B99" s="115" t="s">
        <v>138</v>
      </c>
      <c r="C99" s="118">
        <v>300000</v>
      </c>
      <c r="D99" s="79">
        <v>29844.47</v>
      </c>
      <c r="E99" s="79">
        <v>247208.49</v>
      </c>
      <c r="F99" s="49">
        <f>E99/C99*100</f>
        <v>82.402829999999994</v>
      </c>
    </row>
    <row r="100" spans="1:6" x14ac:dyDescent="0.15">
      <c r="A100" s="116" t="s">
        <v>137</v>
      </c>
      <c r="B100" s="115" t="s">
        <v>136</v>
      </c>
      <c r="C100" s="118">
        <v>10000</v>
      </c>
      <c r="D100" s="79">
        <v>0</v>
      </c>
      <c r="E100" s="79">
        <v>0</v>
      </c>
      <c r="F100" s="49">
        <v>0</v>
      </c>
    </row>
    <row r="101" spans="1:6" x14ac:dyDescent="0.15">
      <c r="A101" s="116" t="s">
        <v>135</v>
      </c>
      <c r="B101" s="115" t="s">
        <v>134</v>
      </c>
      <c r="C101" s="79">
        <v>0</v>
      </c>
      <c r="D101" s="79">
        <v>0</v>
      </c>
      <c r="E101" s="79">
        <v>0</v>
      </c>
      <c r="F101" s="8">
        <v>0</v>
      </c>
    </row>
    <row r="102" spans="1:6" s="12" customFormat="1" ht="15" customHeight="1" thickBot="1" x14ac:dyDescent="0.2">
      <c r="A102" s="13" t="s">
        <v>133</v>
      </c>
      <c r="B102" s="4" t="s">
        <v>132</v>
      </c>
      <c r="C102" s="84">
        <f>SUM(C6,C75,C84,C89,C98)</f>
        <v>15900000</v>
      </c>
      <c r="D102" s="84">
        <f t="shared" ref="D102" si="19">SUM(D6,D75,D84,D89,D98)</f>
        <v>1317190.7100000002</v>
      </c>
      <c r="E102" s="84">
        <f>SUM(E6,E75,E84,E89,E98)</f>
        <v>10952005.4</v>
      </c>
      <c r="F102" s="5">
        <f>E102/C102*100</f>
        <v>68.88053710691824</v>
      </c>
    </row>
    <row r="104" spans="1:6" x14ac:dyDescent="0.15">
      <c r="C104" s="18"/>
      <c r="D104" s="18"/>
      <c r="E104" s="18"/>
    </row>
    <row r="105" spans="1:6" x14ac:dyDescent="0.15">
      <c r="C105" s="18"/>
      <c r="D105" s="18"/>
      <c r="E105" s="18"/>
    </row>
    <row r="106" spans="1:6" x14ac:dyDescent="0.15">
      <c r="C106" s="18"/>
      <c r="D106" s="18"/>
      <c r="E106" s="18"/>
    </row>
    <row r="107" spans="1:6" x14ac:dyDescent="0.15">
      <c r="C107" s="18"/>
      <c r="D107" s="18"/>
      <c r="E107" s="18"/>
    </row>
    <row r="108" spans="1:6" x14ac:dyDescent="0.15">
      <c r="C108" s="18"/>
      <c r="D108" s="18"/>
      <c r="E108" s="18"/>
    </row>
    <row r="109" spans="1:6" x14ac:dyDescent="0.15">
      <c r="D109" s="18"/>
      <c r="E109" s="18"/>
    </row>
    <row r="110" spans="1:6" x14ac:dyDescent="0.15">
      <c r="E110" s="18"/>
    </row>
    <row r="111" spans="1:6" x14ac:dyDescent="0.15">
      <c r="D111" s="18"/>
      <c r="E111" s="18"/>
    </row>
    <row r="112" spans="1:6" x14ac:dyDescent="0.15">
      <c r="E112" s="18"/>
    </row>
    <row r="113" spans="2:5" x14ac:dyDescent="0.15">
      <c r="E113" s="18"/>
    </row>
    <row r="114" spans="2:5" x14ac:dyDescent="0.15">
      <c r="C114" s="18"/>
    </row>
    <row r="115" spans="2:5" x14ac:dyDescent="0.15">
      <c r="C115" s="18"/>
    </row>
    <row r="116" spans="2:5" ht="15" x14ac:dyDescent="0.25">
      <c r="B116" s="122"/>
      <c r="C116" s="122"/>
      <c r="E116" s="18"/>
    </row>
    <row r="117" spans="2:5" ht="15" x14ac:dyDescent="0.25">
      <c r="B117" s="123"/>
      <c r="C117" s="124"/>
      <c r="E117" s="18"/>
    </row>
    <row r="118" spans="2:5" ht="15" x14ac:dyDescent="0.25">
      <c r="B118" s="123"/>
      <c r="C118" s="124"/>
      <c r="E118" s="18"/>
    </row>
    <row r="119" spans="2:5" ht="15" x14ac:dyDescent="0.25">
      <c r="B119" s="123"/>
      <c r="C119" s="124"/>
      <c r="E119" s="18"/>
    </row>
    <row r="120" spans="2:5" ht="15" x14ac:dyDescent="0.25">
      <c r="B120" s="123"/>
      <c r="C120" s="124"/>
    </row>
    <row r="121" spans="2:5" ht="15" x14ac:dyDescent="0.25">
      <c r="B121" s="123"/>
      <c r="C121" s="124"/>
    </row>
    <row r="122" spans="2:5" ht="15" x14ac:dyDescent="0.25">
      <c r="B122" s="123"/>
      <c r="C122" s="124"/>
    </row>
    <row r="123" spans="2:5" ht="15" x14ac:dyDescent="0.25">
      <c r="B123" s="123"/>
      <c r="C123" s="124"/>
    </row>
    <row r="124" spans="2:5" ht="15" x14ac:dyDescent="0.25">
      <c r="B124" s="123"/>
      <c r="C124" s="124"/>
      <c r="E124" s="18"/>
    </row>
    <row r="125" spans="2:5" ht="15" x14ac:dyDescent="0.25">
      <c r="B125" s="123"/>
      <c r="C125" s="124"/>
      <c r="E125" s="18"/>
    </row>
    <row r="126" spans="2:5" ht="15" x14ac:dyDescent="0.25">
      <c r="B126" s="123"/>
      <c r="C126" s="124"/>
      <c r="E126" s="18"/>
    </row>
    <row r="127" spans="2:5" ht="15" x14ac:dyDescent="0.25">
      <c r="B127" s="123"/>
      <c r="C127" s="124"/>
    </row>
    <row r="128" spans="2:5" ht="15" x14ac:dyDescent="0.25">
      <c r="B128" s="123"/>
      <c r="C128" s="124"/>
    </row>
    <row r="129" spans="1:5" ht="15" x14ac:dyDescent="0.25">
      <c r="B129" s="123"/>
      <c r="C129" s="124"/>
    </row>
    <row r="130" spans="1:5" ht="15" x14ac:dyDescent="0.25">
      <c r="B130" s="123"/>
      <c r="C130" s="124"/>
    </row>
    <row r="131" spans="1:5" ht="15" x14ac:dyDescent="0.25">
      <c r="B131" s="122"/>
      <c r="C131" s="125"/>
    </row>
    <row r="132" spans="1:5" ht="15" x14ac:dyDescent="0.25">
      <c r="B132"/>
      <c r="C132"/>
    </row>
    <row r="133" spans="1:5" ht="12" x14ac:dyDescent="0.2">
      <c r="A133" s="11" t="s">
        <v>131</v>
      </c>
      <c r="B133" s="15"/>
      <c r="C133" s="15"/>
      <c r="D133" s="15"/>
      <c r="E133" s="7"/>
    </row>
    <row r="134" spans="1:5" x14ac:dyDescent="0.15">
      <c r="A134" s="10"/>
      <c r="B134" s="7"/>
      <c r="C134" s="7"/>
      <c r="D134" s="7"/>
      <c r="E134" s="7"/>
    </row>
    <row r="135" spans="1:5" ht="60" x14ac:dyDescent="0.15">
      <c r="A135" s="10"/>
      <c r="B135" s="71" t="s">
        <v>130</v>
      </c>
      <c r="C135" s="67" t="s">
        <v>380</v>
      </c>
      <c r="D135" s="7"/>
      <c r="E135" s="7"/>
    </row>
    <row r="136" spans="1:5" ht="12" x14ac:dyDescent="0.2">
      <c r="A136" s="10"/>
      <c r="B136" s="85" t="s">
        <v>129</v>
      </c>
      <c r="C136" s="82">
        <f>+C137+C138+C139+C140+C142+C141</f>
        <v>1576131.96</v>
      </c>
      <c r="D136" s="17"/>
      <c r="E136" s="68"/>
    </row>
    <row r="137" spans="1:5" ht="12" x14ac:dyDescent="0.2">
      <c r="A137" s="10"/>
      <c r="B137" s="86" t="s">
        <v>128</v>
      </c>
      <c r="C137" s="80">
        <f>1213.11+79.5+646.63+2755.06+635.05</f>
        <v>5329.3499999999995</v>
      </c>
      <c r="D137" s="7"/>
      <c r="E137" s="17"/>
    </row>
    <row r="138" spans="1:5" ht="12" x14ac:dyDescent="0.2">
      <c r="A138" s="10"/>
      <c r="B138" s="86" t="s">
        <v>127</v>
      </c>
      <c r="C138" s="80">
        <f>16866.12+1755.25+16733.24+15759.09+307.56+109.56+137.2+2219.01+16993.07+2015.68+2307.88+15329.69+11056.89+3330.98+2860.04+2933.06+3138.24+3145.75+2802.18+992.64+3232.27+3169.06+804.84+2875.73+3169.52</f>
        <v>134044.54999999996</v>
      </c>
      <c r="D138" s="7"/>
      <c r="E138" s="69"/>
    </row>
    <row r="139" spans="1:5" ht="12" x14ac:dyDescent="0.2">
      <c r="A139" s="10"/>
      <c r="B139" s="86" t="s">
        <v>126</v>
      </c>
      <c r="C139" s="80">
        <f>44976.21+6926.13+44621.98+42024.07+626.31+471.21+492.87+6992.81+45314.76+6636.61+9391.26+40879.1+29485.06+30099.56+29179.04+29167.79+29295.88+29239.5+28847.2+5045.58+29746.08+29365.31+4530.79+26759.6+29471.17</f>
        <v>579585.88</v>
      </c>
      <c r="D139" s="7"/>
      <c r="E139" s="69"/>
    </row>
    <row r="140" spans="1:5" ht="12" x14ac:dyDescent="0.2">
      <c r="A140" s="10"/>
      <c r="B140" s="86" t="s">
        <v>125</v>
      </c>
      <c r="C140" s="80">
        <f>16085.68+2683.77+15960.18+15040.11+110.61+83.22+87.04+2626.6+16205.47+2392.18+16018.82+2534.07+3766.02+14634.58+10545.11+12198.57+11830.4+11667.41+11718.6+11695.96+11539.07+1903.18+11898.68+11746.36+1695.77+5196.12+2695.59+10704.11+11788.76</f>
        <v>247052.03999999998</v>
      </c>
      <c r="D140" s="7"/>
      <c r="E140" s="69"/>
    </row>
    <row r="141" spans="1:5" ht="12" x14ac:dyDescent="0.2">
      <c r="A141" s="10"/>
      <c r="B141" s="86" t="s">
        <v>124</v>
      </c>
      <c r="C141" s="80">
        <v>0</v>
      </c>
      <c r="D141" s="7"/>
      <c r="E141" s="136"/>
    </row>
    <row r="142" spans="1:5" ht="12" x14ac:dyDescent="0.2">
      <c r="A142" s="10"/>
      <c r="B142" s="86" t="s">
        <v>123</v>
      </c>
      <c r="C142" s="80">
        <f>47341.91+47341.91+3145.35+63969.36+56854.41+66614.22+85764.99+60444.87+67155.94+111487.18</f>
        <v>610120.14</v>
      </c>
      <c r="D142" s="7"/>
      <c r="E142" s="137"/>
    </row>
    <row r="143" spans="1:5" ht="12" x14ac:dyDescent="0.2">
      <c r="A143" s="10"/>
      <c r="B143" s="85" t="s">
        <v>122</v>
      </c>
      <c r="C143" s="82">
        <v>324</v>
      </c>
      <c r="D143" s="7"/>
      <c r="E143" s="68"/>
    </row>
    <row r="144" spans="1:5" ht="12" x14ac:dyDescent="0.2">
      <c r="A144" s="7"/>
      <c r="B144" s="85" t="s">
        <v>121</v>
      </c>
      <c r="C144" s="82">
        <f>3465+3951.5+1978.15+3465+100.45+3788.73+3465+105.65+3565.45+3565.45+4019.7+3775.45+100.45+3465</f>
        <v>38810.980000000003</v>
      </c>
      <c r="D144" s="7"/>
      <c r="E144" s="68"/>
    </row>
    <row r="145" spans="1:8" ht="12" x14ac:dyDescent="0.2">
      <c r="A145" s="7"/>
      <c r="B145" s="85" t="s">
        <v>120</v>
      </c>
      <c r="C145" s="82">
        <f>36+108.04+8753.23+1299.13+144.2+32+6000+772.36</f>
        <v>17144.960000000003</v>
      </c>
      <c r="D145" s="7"/>
      <c r="E145" s="68"/>
      <c r="F145" s="18"/>
    </row>
    <row r="146" spans="1:8" ht="12" x14ac:dyDescent="0.2">
      <c r="A146" s="7"/>
      <c r="B146" s="85" t="s">
        <v>119</v>
      </c>
      <c r="C146" s="82">
        <f>2123.53+1110.61</f>
        <v>3234.1400000000003</v>
      </c>
      <c r="D146" s="7"/>
      <c r="E146" s="68"/>
      <c r="F146" s="18"/>
    </row>
    <row r="147" spans="1:8" ht="12" x14ac:dyDescent="0.2">
      <c r="A147" s="7"/>
      <c r="B147" s="85" t="s">
        <v>118</v>
      </c>
      <c r="C147" s="82">
        <v>0</v>
      </c>
      <c r="D147" s="7"/>
      <c r="E147" s="68"/>
      <c r="F147" s="18"/>
    </row>
    <row r="148" spans="1:8" ht="12" x14ac:dyDescent="0.2">
      <c r="A148" s="7"/>
      <c r="B148" s="85" t="s">
        <v>117</v>
      </c>
      <c r="C148" s="82">
        <v>186.24</v>
      </c>
      <c r="D148" s="7"/>
      <c r="E148" s="68"/>
      <c r="H148" s="18"/>
    </row>
    <row r="149" spans="1:8" ht="12" x14ac:dyDescent="0.2">
      <c r="A149" s="7"/>
      <c r="B149" s="85" t="s">
        <v>116</v>
      </c>
      <c r="C149" s="82">
        <v>0</v>
      </c>
      <c r="D149" s="7"/>
      <c r="E149" s="68"/>
      <c r="F149" s="18"/>
    </row>
    <row r="150" spans="1:8" ht="12" x14ac:dyDescent="0.2">
      <c r="A150" s="7"/>
      <c r="B150" s="85" t="s">
        <v>115</v>
      </c>
      <c r="C150" s="82">
        <f>3000+744.1+1439+64.8+749.11+11.73+502.79+3176.47+611.52+50+2500+6037.5+650+17580.17+90</f>
        <v>37207.19</v>
      </c>
      <c r="D150" s="7"/>
      <c r="E150" s="68"/>
      <c r="F150" s="7"/>
    </row>
    <row r="151" spans="1:8" ht="12" x14ac:dyDescent="0.2">
      <c r="A151" s="7"/>
      <c r="B151" s="86" t="s">
        <v>114</v>
      </c>
      <c r="C151" s="80"/>
      <c r="D151" s="7"/>
      <c r="E151" s="17"/>
      <c r="H151" s="18"/>
    </row>
    <row r="152" spans="1:8" ht="12" x14ac:dyDescent="0.2">
      <c r="A152" s="7"/>
      <c r="B152" s="85" t="s">
        <v>113</v>
      </c>
      <c r="C152" s="82"/>
      <c r="D152" s="7"/>
      <c r="E152" s="68"/>
      <c r="H152" s="18"/>
    </row>
    <row r="153" spans="1:8" ht="26.25" customHeight="1" x14ac:dyDescent="0.15">
      <c r="A153" s="7"/>
      <c r="B153" s="87" t="s">
        <v>112</v>
      </c>
      <c r="C153" s="82">
        <f>17335+767.96+1200+7447.5+4500+13612.5</f>
        <v>44862.96</v>
      </c>
      <c r="D153" s="7"/>
      <c r="E153" s="68"/>
      <c r="F153" s="18"/>
      <c r="H153" s="18"/>
    </row>
    <row r="154" spans="1:8" ht="12" x14ac:dyDescent="0.2">
      <c r="A154" s="7"/>
      <c r="B154" s="85" t="s">
        <v>111</v>
      </c>
      <c r="C154" s="82">
        <v>2000</v>
      </c>
      <c r="D154" s="7"/>
      <c r="E154" s="68"/>
    </row>
    <row r="155" spans="1:8" ht="12" x14ac:dyDescent="0.2">
      <c r="A155" s="7"/>
      <c r="B155" s="85" t="s">
        <v>110</v>
      </c>
      <c r="C155" s="82">
        <f>136.25+4816.35</f>
        <v>4952.6000000000004</v>
      </c>
      <c r="D155" s="7"/>
      <c r="E155" s="68"/>
    </row>
    <row r="156" spans="1:8" ht="12" x14ac:dyDescent="0.2">
      <c r="A156" s="7"/>
      <c r="B156" s="85" t="s">
        <v>93</v>
      </c>
      <c r="C156" s="82"/>
      <c r="D156" s="7"/>
      <c r="E156" s="68"/>
      <c r="F156" s="18"/>
    </row>
    <row r="157" spans="1:8" ht="12" x14ac:dyDescent="0.2">
      <c r="A157" s="7"/>
      <c r="B157" s="85" t="s">
        <v>109</v>
      </c>
      <c r="C157" s="82"/>
      <c r="D157" s="7"/>
      <c r="E157" s="68"/>
      <c r="F157" s="18"/>
    </row>
    <row r="158" spans="1:8" ht="12" x14ac:dyDescent="0.2">
      <c r="A158" s="7"/>
      <c r="B158" s="88" t="s">
        <v>108</v>
      </c>
      <c r="C158" s="82">
        <f>+C136+C143+C144+C145+C146+C147+C148+C149+C150+C152+C153+C154+C155+C156+C157</f>
        <v>1724855.0299999998</v>
      </c>
      <c r="D158" s="7"/>
      <c r="E158" s="68"/>
      <c r="F158" s="18"/>
    </row>
    <row r="159" spans="1:8" x14ac:dyDescent="0.15">
      <c r="A159" s="7"/>
      <c r="B159" s="7"/>
      <c r="C159" s="7"/>
      <c r="D159" s="7"/>
      <c r="E159" s="17"/>
    </row>
    <row r="160" spans="1:8" x14ac:dyDescent="0.15">
      <c r="A160" s="10"/>
      <c r="B160" s="17"/>
      <c r="C160" s="70"/>
      <c r="D160" s="7"/>
      <c r="E160" s="17"/>
      <c r="F160" s="138"/>
    </row>
    <row r="161" spans="1:6" x14ac:dyDescent="0.15">
      <c r="A161" s="10"/>
      <c r="B161" s="17"/>
      <c r="C161" s="17"/>
      <c r="D161" s="17"/>
      <c r="E161" s="17"/>
    </row>
    <row r="162" spans="1:6" x14ac:dyDescent="0.15">
      <c r="B162" s="18"/>
      <c r="C162" s="18"/>
      <c r="D162" s="18"/>
      <c r="E162" s="18"/>
    </row>
    <row r="163" spans="1:6" x14ac:dyDescent="0.15">
      <c r="C163" s="18"/>
      <c r="E163" s="18"/>
      <c r="F163" s="18"/>
    </row>
    <row r="164" spans="1:6" x14ac:dyDescent="0.15">
      <c r="C164" s="18"/>
      <c r="E164" s="18"/>
    </row>
    <row r="165" spans="1:6" x14ac:dyDescent="0.15">
      <c r="C165" s="18"/>
    </row>
    <row r="166" spans="1:6" x14ac:dyDescent="0.15">
      <c r="C166" s="18"/>
    </row>
    <row r="168" spans="1:6" x14ac:dyDescent="0.15">
      <c r="C168" s="18"/>
      <c r="E168" s="18"/>
      <c r="F168" s="18"/>
    </row>
  </sheetData>
  <mergeCells count="2">
    <mergeCell ref="E2:F2"/>
    <mergeCell ref="A4:F4"/>
  </mergeCells>
  <pageMargins left="0.70866141732283472" right="0.70866141732283472" top="0.74803149606299213" bottom="0.74803149606299213" header="0.31496062992125984" footer="0.31496062992125984"/>
  <pageSetup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40728-A320-46D6-975F-E85F3562BA6F}">
  <dimension ref="A1:K37"/>
  <sheetViews>
    <sheetView workbookViewId="0">
      <selection activeCell="I12" sqref="I12"/>
    </sheetView>
  </sheetViews>
  <sheetFormatPr defaultRowHeight="15" x14ac:dyDescent="0.25"/>
  <cols>
    <col min="3" max="3" width="28.7109375" customWidth="1"/>
    <col min="4" max="4" width="16.5703125" customWidth="1"/>
    <col min="5" max="5" width="17.28515625" customWidth="1"/>
    <col min="6" max="6" width="19.140625" customWidth="1"/>
    <col min="7" max="7" width="21" customWidth="1"/>
    <col min="9" max="9" width="17.42578125" customWidth="1"/>
    <col min="10" max="10" width="20.28515625" customWidth="1"/>
    <col min="11" max="11" width="12.28515625" customWidth="1"/>
  </cols>
  <sheetData>
    <row r="1" spans="1:10" ht="15.75" thickBot="1" x14ac:dyDescent="0.3">
      <c r="A1" s="20"/>
      <c r="B1" s="20"/>
      <c r="C1" s="20"/>
      <c r="D1" s="20"/>
      <c r="E1" s="20"/>
      <c r="F1" s="20"/>
      <c r="G1" s="20"/>
      <c r="H1" s="20"/>
    </row>
    <row r="2" spans="1:10" ht="16.5" thickBot="1" x14ac:dyDescent="0.3">
      <c r="A2" s="153" t="s">
        <v>1</v>
      </c>
      <c r="B2" s="154"/>
      <c r="C2" s="154"/>
      <c r="D2" s="154"/>
      <c r="E2" s="155"/>
      <c r="F2" s="156" t="s">
        <v>308</v>
      </c>
      <c r="G2" s="157"/>
      <c r="H2" s="21"/>
    </row>
    <row r="3" spans="1:10" ht="45.75" customHeight="1" x14ac:dyDescent="0.25">
      <c r="A3" s="22" t="s">
        <v>306</v>
      </c>
      <c r="B3" s="158" t="s">
        <v>309</v>
      </c>
      <c r="C3" s="159"/>
      <c r="D3" s="160" t="s">
        <v>375</v>
      </c>
      <c r="E3" s="161"/>
      <c r="F3" s="160" t="s">
        <v>376</v>
      </c>
      <c r="G3" s="161"/>
      <c r="H3" s="21"/>
    </row>
    <row r="4" spans="1:10" x14ac:dyDescent="0.25">
      <c r="A4" s="23" t="s">
        <v>303</v>
      </c>
      <c r="B4" s="147" t="s">
        <v>310</v>
      </c>
      <c r="C4" s="148"/>
      <c r="D4" s="149">
        <f>SUM(D5:D7)</f>
        <v>2092054.9</v>
      </c>
      <c r="E4" s="150"/>
      <c r="F4" s="151">
        <f>+F5+F6+F7</f>
        <v>9150408.1300000008</v>
      </c>
      <c r="G4" s="152"/>
      <c r="H4" s="24"/>
      <c r="J4" s="119"/>
    </row>
    <row r="5" spans="1:10" ht="24" customHeight="1" x14ac:dyDescent="0.25">
      <c r="A5" s="25"/>
      <c r="B5" s="162" t="s">
        <v>311</v>
      </c>
      <c r="C5" s="163"/>
      <c r="D5" s="164">
        <v>2028595.88</v>
      </c>
      <c r="E5" s="165"/>
      <c r="F5" s="166">
        <v>8564245.6699999999</v>
      </c>
      <c r="G5" s="167"/>
      <c r="H5" s="24"/>
      <c r="I5" s="29"/>
      <c r="J5" s="119"/>
    </row>
    <row r="6" spans="1:10" x14ac:dyDescent="0.25">
      <c r="A6" s="25"/>
      <c r="B6" s="168" t="s">
        <v>312</v>
      </c>
      <c r="C6" s="169"/>
      <c r="D6" s="164">
        <v>7480</v>
      </c>
      <c r="E6" s="165"/>
      <c r="F6" s="166">
        <v>8636.3799999999992</v>
      </c>
      <c r="G6" s="167"/>
      <c r="H6" s="24"/>
      <c r="I6" s="29"/>
      <c r="J6" s="119"/>
    </row>
    <row r="7" spans="1:10" x14ac:dyDescent="0.25">
      <c r="A7" s="25"/>
      <c r="B7" s="168" t="s">
        <v>313</v>
      </c>
      <c r="C7" s="169"/>
      <c r="D7" s="164">
        <v>55979.02</v>
      </c>
      <c r="E7" s="165"/>
      <c r="F7" s="166">
        <v>577526.07999999996</v>
      </c>
      <c r="G7" s="167"/>
      <c r="H7" s="24"/>
      <c r="I7" s="29"/>
      <c r="J7" s="119"/>
    </row>
    <row r="8" spans="1:10" x14ac:dyDescent="0.25">
      <c r="A8" s="23" t="s">
        <v>181</v>
      </c>
      <c r="B8" s="147" t="s">
        <v>314</v>
      </c>
      <c r="C8" s="148"/>
      <c r="D8" s="164"/>
      <c r="E8" s="165"/>
      <c r="F8" s="166"/>
      <c r="G8" s="167"/>
      <c r="H8" s="24"/>
      <c r="J8" s="119"/>
    </row>
    <row r="9" spans="1:10" ht="25.5" customHeight="1" x14ac:dyDescent="0.25">
      <c r="A9" s="23" t="s">
        <v>165</v>
      </c>
      <c r="B9" s="170" t="s">
        <v>315</v>
      </c>
      <c r="C9" s="171"/>
      <c r="D9" s="149">
        <v>20378.55</v>
      </c>
      <c r="E9" s="150"/>
      <c r="F9" s="151"/>
      <c r="G9" s="152"/>
      <c r="H9" s="24"/>
      <c r="J9" s="119"/>
    </row>
    <row r="10" spans="1:10" x14ac:dyDescent="0.25">
      <c r="A10" s="23" t="s">
        <v>157</v>
      </c>
      <c r="B10" s="147" t="s">
        <v>316</v>
      </c>
      <c r="C10" s="148"/>
      <c r="D10" s="149">
        <v>0</v>
      </c>
      <c r="E10" s="150"/>
      <c r="F10" s="151">
        <v>135821.19</v>
      </c>
      <c r="G10" s="152"/>
      <c r="H10" s="24"/>
      <c r="I10" s="29"/>
      <c r="J10" s="119"/>
    </row>
    <row r="11" spans="1:10" x14ac:dyDescent="0.25">
      <c r="A11" s="23" t="s">
        <v>141</v>
      </c>
      <c r="B11" s="147" t="s">
        <v>317</v>
      </c>
      <c r="C11" s="148"/>
      <c r="D11" s="149">
        <f>SUM(D12:D13)</f>
        <v>0</v>
      </c>
      <c r="E11" s="150"/>
      <c r="F11" s="151">
        <f>SUM(G12:G13)</f>
        <v>0</v>
      </c>
      <c r="G11" s="152"/>
      <c r="H11" s="24"/>
      <c r="J11" s="119"/>
    </row>
    <row r="12" spans="1:10" x14ac:dyDescent="0.25">
      <c r="A12" s="23" t="s">
        <v>318</v>
      </c>
      <c r="B12" s="147" t="s">
        <v>319</v>
      </c>
      <c r="C12" s="148"/>
      <c r="D12" s="164"/>
      <c r="E12" s="165"/>
      <c r="F12" s="166"/>
      <c r="G12" s="167"/>
      <c r="H12" s="24"/>
      <c r="J12" s="119"/>
    </row>
    <row r="13" spans="1:10" x14ac:dyDescent="0.25">
      <c r="A13" s="23" t="s">
        <v>320</v>
      </c>
      <c r="B13" s="147" t="s">
        <v>321</v>
      </c>
      <c r="C13" s="148"/>
      <c r="D13" s="164"/>
      <c r="E13" s="165"/>
      <c r="F13" s="166"/>
      <c r="G13" s="167"/>
      <c r="H13" s="24"/>
      <c r="J13" s="119"/>
    </row>
    <row r="14" spans="1:10" x14ac:dyDescent="0.25">
      <c r="A14" s="23" t="s">
        <v>322</v>
      </c>
      <c r="B14" s="147" t="s">
        <v>323</v>
      </c>
      <c r="C14" s="148"/>
      <c r="D14" s="149">
        <v>294075.28000000003</v>
      </c>
      <c r="E14" s="150"/>
      <c r="F14" s="151">
        <v>0</v>
      </c>
      <c r="G14" s="152"/>
      <c r="H14" s="24"/>
      <c r="I14" s="29"/>
      <c r="J14" s="119"/>
    </row>
    <row r="15" spans="1:10" ht="24.75" customHeight="1" x14ac:dyDescent="0.25">
      <c r="A15" s="23" t="s">
        <v>324</v>
      </c>
      <c r="B15" s="170" t="s">
        <v>325</v>
      </c>
      <c r="C15" s="171"/>
      <c r="D15" s="149">
        <v>0</v>
      </c>
      <c r="E15" s="150"/>
      <c r="F15" s="151"/>
      <c r="G15" s="152"/>
      <c r="H15" s="24"/>
      <c r="J15" s="119"/>
    </row>
    <row r="16" spans="1:10" ht="15.75" thickBot="1" x14ac:dyDescent="0.3">
      <c r="A16" s="26" t="s">
        <v>326</v>
      </c>
      <c r="B16" s="172" t="s">
        <v>327</v>
      </c>
      <c r="C16" s="173"/>
      <c r="D16" s="174">
        <v>815.68</v>
      </c>
      <c r="E16" s="175"/>
      <c r="F16" s="176"/>
      <c r="G16" s="177"/>
      <c r="H16" s="24"/>
      <c r="I16" s="29"/>
      <c r="J16" s="119"/>
    </row>
    <row r="17" spans="1:11" ht="15.75" thickBot="1" x14ac:dyDescent="0.3">
      <c r="A17" s="178" t="s">
        <v>328</v>
      </c>
      <c r="B17" s="179"/>
      <c r="C17" s="180"/>
      <c r="D17" s="181">
        <f>D4+D8+D9+D10+D11+D14+D15+D16</f>
        <v>2407324.4099999997</v>
      </c>
      <c r="E17" s="182"/>
      <c r="F17" s="181">
        <f>F4+F8+F9+F10+F11+F14+F15+F16</f>
        <v>9286229.3200000003</v>
      </c>
      <c r="G17" s="182"/>
      <c r="H17" s="21"/>
      <c r="J17" s="119"/>
    </row>
    <row r="18" spans="1:11" ht="15.75" thickBot="1" x14ac:dyDescent="0.3">
      <c r="A18" s="21"/>
      <c r="B18" s="21"/>
      <c r="C18" s="21"/>
      <c r="D18" s="24"/>
      <c r="E18" s="24"/>
      <c r="F18" s="24"/>
      <c r="G18" s="24"/>
      <c r="H18" s="21"/>
      <c r="I18" s="29"/>
    </row>
    <row r="19" spans="1:11" x14ac:dyDescent="0.25">
      <c r="A19" s="183" t="s">
        <v>329</v>
      </c>
      <c r="B19" s="184"/>
      <c r="C19" s="184"/>
      <c r="D19" s="187" t="s">
        <v>330</v>
      </c>
      <c r="E19" s="187" t="s">
        <v>377</v>
      </c>
      <c r="F19" s="187" t="s">
        <v>378</v>
      </c>
      <c r="G19" s="189" t="s">
        <v>379</v>
      </c>
      <c r="H19" s="21"/>
    </row>
    <row r="20" spans="1:11" ht="52.5" customHeight="1" x14ac:dyDescent="0.25">
      <c r="A20" s="185"/>
      <c r="B20" s="186"/>
      <c r="C20" s="186"/>
      <c r="D20" s="188"/>
      <c r="E20" s="188"/>
      <c r="F20" s="188"/>
      <c r="G20" s="190"/>
      <c r="H20" s="21"/>
    </row>
    <row r="21" spans="1:11" x14ac:dyDescent="0.25">
      <c r="A21" s="185" t="s">
        <v>331</v>
      </c>
      <c r="B21" s="186"/>
      <c r="C21" s="186"/>
      <c r="D21" s="131">
        <v>6980756.5899999999</v>
      </c>
      <c r="E21" s="132">
        <f>1535766.45+98568.3+6143.07+98568.3+6143.07+98568.3+6143.07+98568.3+6143.07+98568.3+6143.07+104711.37+104711.37+104711.37+104711.37+104711.37+104711.37+104711.37+104711.37</f>
        <v>2897014.2600000012</v>
      </c>
      <c r="F21" s="132">
        <f>1640477.82+98568.3+6143.07+69807.58+69807.58+98568.3+6143.07+69807.58+98568.3+6143.07+104711.37+104711.37+104711.37+104711.37+104711.37+3145.35+16627.45+65822.75+104711.37+104711.37+32916.99</f>
        <v>3015526.8000000017</v>
      </c>
      <c r="G21" s="133">
        <f>E21-F21</f>
        <v>-118512.5400000005</v>
      </c>
      <c r="H21" s="21"/>
      <c r="I21" s="29"/>
      <c r="J21" s="42"/>
      <c r="K21" s="42"/>
    </row>
    <row r="22" spans="1:11" x14ac:dyDescent="0.25">
      <c r="A22" s="195" t="s">
        <v>332</v>
      </c>
      <c r="B22" s="196"/>
      <c r="C22" s="196"/>
      <c r="D22" s="188">
        <v>2487624.42</v>
      </c>
      <c r="E22" s="197">
        <f>547277.35+37314.36+43457.43-6143.07+37314.36+37314.36+37314.36+37314.36+37314.36+37314.36+37314.36+37314.36+37314.36+37314.36+37314.36</f>
        <v>1032364.0299999999</v>
      </c>
      <c r="F22" s="197">
        <f>584591.71+43457.43-6143.07+24876.24+24876.24+37314.36+24876.24+37314.36+37314.36+655.02+37314.36+37314.36+37314.36+37314.36+37314.36+1385.14+37314.36+65530.41</f>
        <v>1099934.5999999999</v>
      </c>
      <c r="G22" s="199">
        <f>E22-F22</f>
        <v>-67570.569999999949</v>
      </c>
      <c r="H22" s="21"/>
      <c r="I22" s="7"/>
      <c r="J22" s="42"/>
      <c r="K22" s="191"/>
    </row>
    <row r="23" spans="1:11" ht="25.5" customHeight="1" x14ac:dyDescent="0.25">
      <c r="A23" s="195"/>
      <c r="B23" s="196"/>
      <c r="C23" s="196"/>
      <c r="D23" s="188"/>
      <c r="E23" s="198"/>
      <c r="F23" s="198"/>
      <c r="G23" s="200"/>
      <c r="H23" s="21"/>
      <c r="I23" s="68"/>
      <c r="J23" s="42"/>
      <c r="K23" s="191"/>
    </row>
    <row r="24" spans="1:11" ht="15.75" thickBot="1" x14ac:dyDescent="0.3">
      <c r="A24" s="192" t="s">
        <v>108</v>
      </c>
      <c r="B24" s="193"/>
      <c r="C24" s="193"/>
      <c r="D24" s="134">
        <f>SUM(D21:D23)</f>
        <v>9468381.0099999998</v>
      </c>
      <c r="E24" s="134">
        <f>SUM(E21:E23)</f>
        <v>3929378.290000001</v>
      </c>
      <c r="F24" s="134">
        <f>SUM(F21:F23)</f>
        <v>4115461.4000000013</v>
      </c>
      <c r="G24" s="135">
        <f>SUM(G21:G23)</f>
        <v>-186083.11000000045</v>
      </c>
      <c r="H24" s="21"/>
      <c r="I24" s="43"/>
      <c r="J24" s="43"/>
    </row>
    <row r="25" spans="1:11" x14ac:dyDescent="0.25">
      <c r="A25" s="21"/>
      <c r="B25" s="21"/>
      <c r="C25" s="21"/>
      <c r="D25" s="21"/>
      <c r="E25" s="21"/>
      <c r="F25" s="21"/>
      <c r="G25" s="21"/>
      <c r="H25" s="21"/>
      <c r="I25" s="29"/>
    </row>
    <row r="26" spans="1:11" x14ac:dyDescent="0.25">
      <c r="A26" s="19"/>
      <c r="B26" s="19"/>
      <c r="C26" s="27"/>
      <c r="D26" s="50" t="s">
        <v>333</v>
      </c>
      <c r="E26" s="51"/>
      <c r="F26" s="51"/>
      <c r="G26" s="28"/>
      <c r="H26" s="28"/>
      <c r="I26" s="43"/>
      <c r="J26" s="43"/>
      <c r="K26" s="43"/>
    </row>
    <row r="27" spans="1:11" x14ac:dyDescent="0.25">
      <c r="A27" s="19"/>
      <c r="B27" s="19"/>
      <c r="C27" s="19"/>
      <c r="D27" s="28"/>
      <c r="E27" s="194" t="s">
        <v>334</v>
      </c>
      <c r="F27" s="194"/>
      <c r="G27" s="28"/>
      <c r="H27" s="19"/>
      <c r="I27" s="1"/>
      <c r="J27" s="43"/>
      <c r="K27" s="43"/>
    </row>
    <row r="28" spans="1:11" x14ac:dyDescent="0.25">
      <c r="A28" s="19"/>
      <c r="B28" s="19"/>
      <c r="C28" s="19"/>
      <c r="D28" s="19"/>
      <c r="E28" s="19"/>
      <c r="F28" s="19"/>
      <c r="G28" s="19"/>
      <c r="H28" s="19"/>
      <c r="I28" s="43"/>
    </row>
    <row r="29" spans="1:11" x14ac:dyDescent="0.25">
      <c r="A29" s="19"/>
      <c r="B29" s="19"/>
      <c r="C29" s="19"/>
      <c r="D29" s="19"/>
      <c r="E29" s="31"/>
      <c r="F29" s="19"/>
      <c r="G29" s="19"/>
      <c r="H29" s="19"/>
    </row>
    <row r="30" spans="1:11" x14ac:dyDescent="0.25">
      <c r="A30" s="19"/>
      <c r="B30" s="19"/>
      <c r="C30" s="19"/>
      <c r="D30" s="45"/>
      <c r="E30" s="45"/>
      <c r="F30" s="45"/>
      <c r="G30" s="30"/>
      <c r="H30" s="19"/>
    </row>
    <row r="31" spans="1:11" x14ac:dyDescent="0.25">
      <c r="A31" s="19"/>
      <c r="B31" s="19"/>
      <c r="C31" s="19"/>
      <c r="D31" s="19"/>
      <c r="E31" s="19"/>
      <c r="F31" s="45"/>
      <c r="G31" s="30"/>
      <c r="H31" s="19"/>
    </row>
    <row r="32" spans="1:11" x14ac:dyDescent="0.25">
      <c r="A32" s="19"/>
      <c r="B32" s="19"/>
      <c r="C32" s="19"/>
      <c r="D32" s="19"/>
      <c r="E32" s="19"/>
      <c r="F32" s="45"/>
      <c r="G32" s="19"/>
      <c r="H32" s="19"/>
    </row>
    <row r="33" spans="1:8" x14ac:dyDescent="0.25">
      <c r="A33" s="19"/>
      <c r="B33" s="19"/>
      <c r="C33" s="19"/>
      <c r="D33" s="19"/>
      <c r="E33" s="19"/>
      <c r="F33" s="19"/>
      <c r="G33" s="19"/>
      <c r="H33" s="19"/>
    </row>
    <row r="34" spans="1:8" x14ac:dyDescent="0.25">
      <c r="A34" s="19"/>
      <c r="B34" s="19"/>
      <c r="C34" s="19"/>
      <c r="D34" s="19"/>
      <c r="E34" s="19"/>
      <c r="F34" s="19"/>
      <c r="G34" s="19"/>
      <c r="H34" s="19"/>
    </row>
    <row r="35" spans="1:8" x14ac:dyDescent="0.25">
      <c r="A35" s="19"/>
      <c r="B35" s="19"/>
      <c r="C35" s="19"/>
      <c r="D35" s="19"/>
      <c r="E35" s="19"/>
      <c r="F35" s="30"/>
      <c r="G35" s="19"/>
      <c r="H35" s="19"/>
    </row>
    <row r="36" spans="1:8" x14ac:dyDescent="0.25">
      <c r="A36" s="19"/>
      <c r="B36" s="19"/>
      <c r="C36" s="19"/>
      <c r="D36" s="19"/>
      <c r="E36" s="19"/>
      <c r="F36" s="19"/>
      <c r="G36" s="19"/>
      <c r="H36" s="19"/>
    </row>
    <row r="37" spans="1:8" x14ac:dyDescent="0.25">
      <c r="A37" s="19"/>
      <c r="B37" s="19"/>
      <c r="C37" s="19"/>
      <c r="D37" s="19"/>
      <c r="E37" s="19"/>
      <c r="F37" s="19"/>
      <c r="G37" s="19"/>
      <c r="H37" s="19"/>
    </row>
  </sheetData>
  <mergeCells count="61">
    <mergeCell ref="K22:K23"/>
    <mergeCell ref="A24:C24"/>
    <mergeCell ref="E27:F27"/>
    <mergeCell ref="A21:C21"/>
    <mergeCell ref="A22:C23"/>
    <mergeCell ref="D22:D23"/>
    <mergeCell ref="E22:E23"/>
    <mergeCell ref="F22:F23"/>
    <mergeCell ref="G22:G23"/>
    <mergeCell ref="A17:C17"/>
    <mergeCell ref="D17:E17"/>
    <mergeCell ref="F17:G17"/>
    <mergeCell ref="A19:C20"/>
    <mergeCell ref="D19:D20"/>
    <mergeCell ref="E19:E20"/>
    <mergeCell ref="F19:F20"/>
    <mergeCell ref="G19:G20"/>
    <mergeCell ref="B15:C15"/>
    <mergeCell ref="D15:E15"/>
    <mergeCell ref="F15:G15"/>
    <mergeCell ref="B16:C16"/>
    <mergeCell ref="D16:E16"/>
    <mergeCell ref="F16:G16"/>
    <mergeCell ref="B13:C13"/>
    <mergeCell ref="D13:E13"/>
    <mergeCell ref="F13:G13"/>
    <mergeCell ref="B14:C14"/>
    <mergeCell ref="D14:E14"/>
    <mergeCell ref="F14:G14"/>
    <mergeCell ref="B11:C11"/>
    <mergeCell ref="D11:E11"/>
    <mergeCell ref="F11:G11"/>
    <mergeCell ref="B12:C12"/>
    <mergeCell ref="D12:E12"/>
    <mergeCell ref="F12:G12"/>
    <mergeCell ref="B9:C9"/>
    <mergeCell ref="D9:E9"/>
    <mergeCell ref="F9:G9"/>
    <mergeCell ref="B10:C10"/>
    <mergeCell ref="D10:E10"/>
    <mergeCell ref="F10:G10"/>
    <mergeCell ref="B7:C7"/>
    <mergeCell ref="D7:E7"/>
    <mergeCell ref="F7:G7"/>
    <mergeCell ref="B8:C8"/>
    <mergeCell ref="D8:E8"/>
    <mergeCell ref="F8:G8"/>
    <mergeCell ref="B5:C5"/>
    <mergeCell ref="D5:E5"/>
    <mergeCell ref="F5:G5"/>
    <mergeCell ref="B6:C6"/>
    <mergeCell ref="D6:E6"/>
    <mergeCell ref="F6:G6"/>
    <mergeCell ref="B4:C4"/>
    <mergeCell ref="D4:E4"/>
    <mergeCell ref="F4:G4"/>
    <mergeCell ref="A2:E2"/>
    <mergeCell ref="F2:G2"/>
    <mergeCell ref="B3:C3"/>
    <mergeCell ref="D3:E3"/>
    <mergeCell ref="F3:G3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182B7-B141-4985-979A-B2C24E824B90}">
  <dimension ref="A1:M23"/>
  <sheetViews>
    <sheetView workbookViewId="0">
      <selection activeCell="K12" sqref="K12:O12"/>
    </sheetView>
  </sheetViews>
  <sheetFormatPr defaultRowHeight="15" x14ac:dyDescent="0.25"/>
  <cols>
    <col min="1" max="1" width="5.5703125" customWidth="1"/>
    <col min="2" max="2" width="17.5703125" customWidth="1"/>
    <col min="3" max="3" width="13.140625" customWidth="1"/>
    <col min="4" max="4" width="12.5703125" customWidth="1"/>
    <col min="5" max="5" width="13.28515625" customWidth="1"/>
    <col min="6" max="6" width="12.7109375" customWidth="1"/>
    <col min="7" max="7" width="11.42578125" customWidth="1"/>
    <col min="8" max="8" width="12.5703125" customWidth="1"/>
    <col min="9" max="9" width="11.140625" customWidth="1"/>
    <col min="10" max="10" width="11.42578125" customWidth="1"/>
    <col min="12" max="12" width="17.85546875" customWidth="1"/>
    <col min="13" max="13" width="11.7109375" bestFit="1" customWidth="1"/>
  </cols>
  <sheetData>
    <row r="1" spans="1:13" ht="15.75" thickBot="1" x14ac:dyDescent="0.3">
      <c r="A1" s="206" t="s">
        <v>1</v>
      </c>
      <c r="B1" s="207"/>
      <c r="C1" s="207"/>
      <c r="D1" s="207"/>
      <c r="E1" s="207"/>
      <c r="F1" s="207"/>
      <c r="G1" s="207"/>
      <c r="H1" s="208"/>
      <c r="I1" s="206" t="s">
        <v>335</v>
      </c>
      <c r="J1" s="208"/>
    </row>
    <row r="2" spans="1:13" ht="24.75" customHeight="1" x14ac:dyDescent="0.25">
      <c r="A2" s="209" t="s">
        <v>306</v>
      </c>
      <c r="B2" s="211" t="s">
        <v>336</v>
      </c>
      <c r="C2" s="213" t="s">
        <v>373</v>
      </c>
      <c r="D2" s="214"/>
      <c r="E2" s="214"/>
      <c r="F2" s="215"/>
      <c r="G2" s="213" t="s">
        <v>374</v>
      </c>
      <c r="H2" s="214"/>
      <c r="I2" s="214"/>
      <c r="J2" s="215"/>
    </row>
    <row r="3" spans="1:13" ht="58.5" customHeight="1" thickBot="1" x14ac:dyDescent="0.3">
      <c r="A3" s="210"/>
      <c r="B3" s="212"/>
      <c r="C3" s="127" t="s">
        <v>337</v>
      </c>
      <c r="D3" s="127" t="s">
        <v>338</v>
      </c>
      <c r="E3" s="127" t="s">
        <v>339</v>
      </c>
      <c r="F3" s="128" t="s">
        <v>340</v>
      </c>
      <c r="G3" s="129" t="s">
        <v>337</v>
      </c>
      <c r="H3" s="127" t="s">
        <v>338</v>
      </c>
      <c r="I3" s="127" t="s">
        <v>339</v>
      </c>
      <c r="J3" s="130" t="s">
        <v>340</v>
      </c>
    </row>
    <row r="4" spans="1:13" ht="15.75" thickTop="1" x14ac:dyDescent="0.25">
      <c r="A4" s="52" t="s">
        <v>303</v>
      </c>
      <c r="B4" s="53" t="s">
        <v>341</v>
      </c>
      <c r="C4" s="89">
        <f>+C5+C8</f>
        <v>1105749.99</v>
      </c>
      <c r="D4" s="89">
        <f>+D5+D8</f>
        <v>1105749.99</v>
      </c>
      <c r="E4" s="89">
        <f>SUM(E5)</f>
        <v>731862.99</v>
      </c>
      <c r="F4" s="89">
        <f>+F5+F8</f>
        <v>373887</v>
      </c>
      <c r="G4" s="90">
        <f>G5+G8</f>
        <v>779200</v>
      </c>
      <c r="H4" s="89">
        <f>H5+H8</f>
        <v>790621.54</v>
      </c>
      <c r="I4" s="89">
        <f>I5+I8</f>
        <v>607727.91</v>
      </c>
      <c r="J4" s="91">
        <f>J5+J8</f>
        <v>182893.63</v>
      </c>
    </row>
    <row r="5" spans="1:13" x14ac:dyDescent="0.25">
      <c r="A5" s="54">
        <v>1</v>
      </c>
      <c r="B5" s="55" t="s">
        <v>342</v>
      </c>
      <c r="C5" s="92">
        <f>SUM(C6:C7)</f>
        <v>1105749.99</v>
      </c>
      <c r="D5" s="92">
        <f>SUM(D6:D7)</f>
        <v>1105749.99</v>
      </c>
      <c r="E5" s="92">
        <f>SUM(E6:E7)</f>
        <v>731862.99</v>
      </c>
      <c r="F5" s="92">
        <f t="shared" ref="F5:J5" si="0">SUM(F6:F7)</f>
        <v>373887</v>
      </c>
      <c r="G5" s="93">
        <f t="shared" si="0"/>
        <v>779200</v>
      </c>
      <c r="H5" s="92">
        <f t="shared" si="0"/>
        <v>790621.54</v>
      </c>
      <c r="I5" s="92">
        <f t="shared" si="0"/>
        <v>607727.91</v>
      </c>
      <c r="J5" s="94">
        <f t="shared" si="0"/>
        <v>182893.63</v>
      </c>
    </row>
    <row r="6" spans="1:13" x14ac:dyDescent="0.25">
      <c r="A6" s="56" t="s">
        <v>343</v>
      </c>
      <c r="B6" s="57" t="s">
        <v>344</v>
      </c>
      <c r="C6" s="95"/>
      <c r="D6" s="95"/>
      <c r="E6" s="95"/>
      <c r="F6" s="95"/>
      <c r="G6" s="96"/>
      <c r="H6" s="95"/>
      <c r="I6" s="95"/>
      <c r="J6" s="97"/>
      <c r="L6" s="29"/>
    </row>
    <row r="7" spans="1:13" x14ac:dyDescent="0.25">
      <c r="A7" s="56" t="s">
        <v>345</v>
      </c>
      <c r="B7" s="57" t="s">
        <v>346</v>
      </c>
      <c r="C7" s="95">
        <v>1105749.99</v>
      </c>
      <c r="D7" s="95">
        <v>1105749.99</v>
      </c>
      <c r="E7" s="95">
        <f>+C7-F7</f>
        <v>731862.99</v>
      </c>
      <c r="F7" s="95">
        <v>373887</v>
      </c>
      <c r="G7" s="96">
        <f>750000+29200</f>
        <v>779200</v>
      </c>
      <c r="H7" s="95">
        <f>757717.73+32903.81</f>
        <v>790621.54</v>
      </c>
      <c r="I7" s="95">
        <f>+H7-J7</f>
        <v>607727.91</v>
      </c>
      <c r="J7" s="97">
        <f>164449.63+18444</f>
        <v>182893.63</v>
      </c>
      <c r="L7" s="44"/>
    </row>
    <row r="8" spans="1:13" x14ac:dyDescent="0.25">
      <c r="A8" s="54">
        <v>2</v>
      </c>
      <c r="B8" s="55" t="s">
        <v>347</v>
      </c>
      <c r="C8" s="92"/>
      <c r="D8" s="92"/>
      <c r="E8" s="92" t="s">
        <v>348</v>
      </c>
      <c r="F8" s="92"/>
      <c r="G8" s="96"/>
      <c r="H8" s="92"/>
      <c r="I8" s="92"/>
      <c r="J8" s="98"/>
      <c r="L8" s="29"/>
      <c r="M8" s="29"/>
    </row>
    <row r="9" spans="1:13" x14ac:dyDescent="0.25">
      <c r="A9" s="58" t="s">
        <v>181</v>
      </c>
      <c r="B9" s="55" t="s">
        <v>349</v>
      </c>
      <c r="C9" s="92">
        <f>C10+C13</f>
        <v>0</v>
      </c>
      <c r="D9" s="92">
        <f>D10+D13</f>
        <v>0</v>
      </c>
      <c r="E9" s="92">
        <f>E10+E13</f>
        <v>0</v>
      </c>
      <c r="F9" s="92">
        <f>F10+F13</f>
        <v>0</v>
      </c>
      <c r="G9" s="93">
        <f>SUM(G10+G13)</f>
        <v>0</v>
      </c>
      <c r="H9" s="92">
        <f>SUM(H10+H13)</f>
        <v>0</v>
      </c>
      <c r="I9" s="92">
        <f>SUM(I10+I13)</f>
        <v>0</v>
      </c>
      <c r="J9" s="94">
        <f>SUM(J10+J13)</f>
        <v>0</v>
      </c>
      <c r="L9" s="29"/>
    </row>
    <row r="10" spans="1:13" x14ac:dyDescent="0.25">
      <c r="A10" s="54">
        <v>1</v>
      </c>
      <c r="B10" s="55" t="s">
        <v>350</v>
      </c>
      <c r="C10" s="92">
        <f t="shared" ref="C10:J10" si="1">SUM(C11:C12)</f>
        <v>0</v>
      </c>
      <c r="D10" s="92">
        <f t="shared" si="1"/>
        <v>0</v>
      </c>
      <c r="E10" s="92">
        <f t="shared" si="1"/>
        <v>0</v>
      </c>
      <c r="F10" s="92">
        <f t="shared" si="1"/>
        <v>0</v>
      </c>
      <c r="G10" s="93">
        <f t="shared" si="1"/>
        <v>0</v>
      </c>
      <c r="H10" s="92">
        <f t="shared" si="1"/>
        <v>0</v>
      </c>
      <c r="I10" s="92">
        <f t="shared" si="1"/>
        <v>0</v>
      </c>
      <c r="J10" s="94">
        <f t="shared" si="1"/>
        <v>0</v>
      </c>
      <c r="L10" s="29"/>
    </row>
    <row r="11" spans="1:13" x14ac:dyDescent="0.25">
      <c r="A11" s="56" t="s">
        <v>343</v>
      </c>
      <c r="B11" s="57" t="s">
        <v>344</v>
      </c>
      <c r="C11" s="95"/>
      <c r="D11" s="95"/>
      <c r="E11" s="95"/>
      <c r="F11" s="95"/>
      <c r="G11" s="96"/>
      <c r="H11" s="95"/>
      <c r="I11" s="95"/>
      <c r="J11" s="97"/>
      <c r="L11" s="29"/>
      <c r="M11" s="29"/>
    </row>
    <row r="12" spans="1:13" x14ac:dyDescent="0.25">
      <c r="A12" s="56" t="s">
        <v>345</v>
      </c>
      <c r="B12" s="57" t="s">
        <v>346</v>
      </c>
      <c r="C12" s="95"/>
      <c r="D12" s="95"/>
      <c r="E12" s="95"/>
      <c r="F12" s="95"/>
      <c r="G12" s="96"/>
      <c r="H12" s="95"/>
      <c r="I12" s="95"/>
      <c r="J12" s="97"/>
      <c r="K12" t="s">
        <v>355</v>
      </c>
      <c r="L12" s="29"/>
    </row>
    <row r="13" spans="1:13" ht="15.75" thickBot="1" x14ac:dyDescent="0.3">
      <c r="A13" s="54">
        <v>2</v>
      </c>
      <c r="B13" s="55" t="s">
        <v>347</v>
      </c>
      <c r="C13" s="92"/>
      <c r="D13" s="92"/>
      <c r="E13" s="92"/>
      <c r="F13" s="92"/>
      <c r="G13" s="93"/>
      <c r="H13" s="92"/>
      <c r="I13" s="92"/>
      <c r="J13" s="98"/>
      <c r="L13" s="29"/>
    </row>
    <row r="14" spans="1:13" ht="16.5" thickTop="1" thickBot="1" x14ac:dyDescent="0.3">
      <c r="A14" s="202" t="s">
        <v>351</v>
      </c>
      <c r="B14" s="203"/>
      <c r="C14" s="99">
        <f t="shared" ref="C14:J14" si="2">C4+C9</f>
        <v>1105749.99</v>
      </c>
      <c r="D14" s="99">
        <f t="shared" si="2"/>
        <v>1105749.99</v>
      </c>
      <c r="E14" s="99">
        <f t="shared" si="2"/>
        <v>731862.99</v>
      </c>
      <c r="F14" s="99">
        <f t="shared" si="2"/>
        <v>373887</v>
      </c>
      <c r="G14" s="100">
        <f t="shared" si="2"/>
        <v>779200</v>
      </c>
      <c r="H14" s="101">
        <f t="shared" si="2"/>
        <v>790621.54</v>
      </c>
      <c r="I14" s="101">
        <f t="shared" si="2"/>
        <v>607727.91</v>
      </c>
      <c r="J14" s="102">
        <f t="shared" si="2"/>
        <v>182893.63</v>
      </c>
      <c r="L14" s="29"/>
    </row>
    <row r="15" spans="1:13" ht="15.75" thickTop="1" x14ac:dyDescent="0.25">
      <c r="A15" s="52" t="s">
        <v>165</v>
      </c>
      <c r="B15" s="53" t="s">
        <v>352</v>
      </c>
      <c r="C15" s="103">
        <v>600000</v>
      </c>
      <c r="D15" s="103">
        <v>600000</v>
      </c>
      <c r="E15" s="103">
        <f>92851.23+13189</f>
        <v>106040.23</v>
      </c>
      <c r="F15" s="103">
        <f>164449.63*0.8</f>
        <v>131559.704</v>
      </c>
      <c r="G15" s="104"/>
      <c r="H15" s="103"/>
      <c r="I15" s="103"/>
      <c r="J15" s="105"/>
      <c r="L15" s="29"/>
    </row>
    <row r="16" spans="1:13" ht="15.75" thickBot="1" x14ac:dyDescent="0.3">
      <c r="A16" s="59" t="s">
        <v>157</v>
      </c>
      <c r="B16" s="60" t="s">
        <v>353</v>
      </c>
      <c r="C16" s="106"/>
      <c r="D16" s="106"/>
      <c r="E16" s="106"/>
      <c r="F16" s="106"/>
      <c r="G16" s="107"/>
      <c r="H16" s="108"/>
      <c r="I16" s="108"/>
      <c r="J16" s="109"/>
      <c r="L16" s="29"/>
    </row>
    <row r="17" spans="1:12" ht="15.75" thickBot="1" x14ac:dyDescent="0.3">
      <c r="A17" s="204" t="s">
        <v>354</v>
      </c>
      <c r="B17" s="205"/>
      <c r="C17" s="110">
        <f>C15+C16</f>
        <v>600000</v>
      </c>
      <c r="D17" s="110">
        <f>D15+D16</f>
        <v>600000</v>
      </c>
      <c r="E17" s="110">
        <f>E15+E16</f>
        <v>106040.23</v>
      </c>
      <c r="F17" s="110">
        <f>F15+F16</f>
        <v>131559.704</v>
      </c>
      <c r="G17" s="111">
        <f>SUM(G15:G16)</f>
        <v>0</v>
      </c>
      <c r="H17" s="111">
        <f>SUM(H15:H16)</f>
        <v>0</v>
      </c>
      <c r="I17" s="111">
        <f>SUM(I15:I16)</f>
        <v>0</v>
      </c>
      <c r="J17" s="112">
        <f>SUM(J15:J16)</f>
        <v>0</v>
      </c>
      <c r="L17" s="29"/>
    </row>
    <row r="18" spans="1:12" x14ac:dyDescent="0.25">
      <c r="A18" s="61"/>
      <c r="B18" s="61"/>
      <c r="C18" s="61"/>
      <c r="D18" s="61"/>
      <c r="E18" s="61"/>
      <c r="F18" s="61"/>
      <c r="G18" s="61"/>
      <c r="H18" s="61"/>
      <c r="I18" s="61"/>
      <c r="J18" s="61"/>
    </row>
    <row r="19" spans="1:12" x14ac:dyDescent="0.25">
      <c r="A19" s="28"/>
      <c r="B19" s="28"/>
      <c r="C19" s="64"/>
      <c r="D19" s="28"/>
      <c r="E19" s="28"/>
      <c r="F19" s="77"/>
      <c r="G19" s="28"/>
      <c r="H19" s="28"/>
      <c r="I19" s="28"/>
      <c r="J19" s="28"/>
    </row>
    <row r="20" spans="1:12" x14ac:dyDescent="0.25">
      <c r="A20" s="28"/>
      <c r="B20" s="28"/>
      <c r="C20" s="28"/>
      <c r="D20" s="28"/>
      <c r="E20" s="63" t="s">
        <v>333</v>
      </c>
      <c r="F20" s="28"/>
      <c r="G20" s="65"/>
      <c r="H20" s="65"/>
      <c r="I20" s="65"/>
      <c r="J20" s="28"/>
    </row>
    <row r="21" spans="1:12" x14ac:dyDescent="0.25">
      <c r="A21" s="28"/>
      <c r="B21" s="28"/>
      <c r="C21" s="28"/>
      <c r="D21" s="28"/>
      <c r="E21" s="28"/>
      <c r="F21" s="28"/>
      <c r="G21" s="201" t="s">
        <v>334</v>
      </c>
      <c r="H21" s="201"/>
      <c r="I21" s="201"/>
      <c r="J21" s="28"/>
    </row>
    <row r="22" spans="1:12" x14ac:dyDescent="0.25">
      <c r="A22" s="28"/>
      <c r="B22" s="28"/>
      <c r="C22" s="28"/>
      <c r="D22" s="28"/>
      <c r="E22" s="28"/>
      <c r="F22" s="28"/>
      <c r="G22" s="28"/>
      <c r="H22" s="28"/>
      <c r="I22" s="28"/>
      <c r="J22" s="28"/>
    </row>
    <row r="23" spans="1:12" x14ac:dyDescent="0.25">
      <c r="A23" s="28"/>
      <c r="B23" s="28"/>
      <c r="C23" s="28"/>
      <c r="D23" s="28"/>
      <c r="E23" s="28"/>
      <c r="F23" s="28"/>
      <c r="G23" s="28"/>
      <c r="H23" s="28"/>
      <c r="I23" s="28"/>
      <c r="J23" s="28"/>
    </row>
  </sheetData>
  <mergeCells count="9">
    <mergeCell ref="G21:I21"/>
    <mergeCell ref="A14:B14"/>
    <mergeCell ref="A17:B17"/>
    <mergeCell ref="A1:H1"/>
    <mergeCell ref="I1:J1"/>
    <mergeCell ref="A2:A3"/>
    <mergeCell ref="B2:B3"/>
    <mergeCell ref="C2:F2"/>
    <mergeCell ref="G2:J2"/>
  </mergeCells>
  <pageMargins left="0.7" right="0.7" top="0.75" bottom="0.75" header="0.3" footer="0.3"/>
  <pageSetup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51DD3-EC55-4783-9BF8-E489AC29792E}">
  <dimension ref="A1:F20"/>
  <sheetViews>
    <sheetView tabSelected="1" topLeftCell="A4" workbookViewId="0">
      <selection activeCell="F14" sqref="F14"/>
    </sheetView>
  </sheetViews>
  <sheetFormatPr defaultRowHeight="15" x14ac:dyDescent="0.25"/>
  <cols>
    <col min="2" max="2" width="48.7109375" customWidth="1"/>
    <col min="3" max="3" width="20.85546875" customWidth="1"/>
  </cols>
  <sheetData>
    <row r="1" spans="1:6" ht="15.75" thickBot="1" x14ac:dyDescent="0.3"/>
    <row r="2" spans="1:6" ht="15" customHeight="1" x14ac:dyDescent="0.25">
      <c r="A2" s="216" t="s">
        <v>372</v>
      </c>
      <c r="B2" s="217"/>
      <c r="C2" s="218"/>
    </row>
    <row r="3" spans="1:6" ht="15.75" thickBot="1" x14ac:dyDescent="0.3">
      <c r="A3" s="219"/>
      <c r="B3" s="220"/>
      <c r="C3" s="221"/>
    </row>
    <row r="4" spans="1:6" ht="15.75" thickBot="1" x14ac:dyDescent="0.3">
      <c r="A4" s="28"/>
      <c r="B4" s="28"/>
      <c r="C4" s="28"/>
    </row>
    <row r="5" spans="1:6" x14ac:dyDescent="0.25">
      <c r="A5" s="38" t="s">
        <v>306</v>
      </c>
      <c r="B5" s="34" t="s">
        <v>356</v>
      </c>
      <c r="C5" s="35" t="s">
        <v>357</v>
      </c>
    </row>
    <row r="6" spans="1:6" x14ac:dyDescent="0.25">
      <c r="A6" s="39">
        <v>1</v>
      </c>
      <c r="B6" s="32" t="s">
        <v>358</v>
      </c>
      <c r="C6" s="222">
        <v>300</v>
      </c>
    </row>
    <row r="7" spans="1:6" x14ac:dyDescent="0.25">
      <c r="A7" s="39">
        <v>2</v>
      </c>
      <c r="B7" s="32" t="s">
        <v>359</v>
      </c>
      <c r="C7" s="139">
        <v>29</v>
      </c>
    </row>
    <row r="8" spans="1:6" x14ac:dyDescent="0.25">
      <c r="A8" s="39">
        <v>3</v>
      </c>
      <c r="B8" s="32" t="s">
        <v>360</v>
      </c>
      <c r="C8" s="139">
        <v>25</v>
      </c>
    </row>
    <row r="9" spans="1:6" x14ac:dyDescent="0.25">
      <c r="A9" s="39">
        <v>4</v>
      </c>
      <c r="B9" s="32" t="s">
        <v>361</v>
      </c>
      <c r="C9" s="139">
        <v>49</v>
      </c>
    </row>
    <row r="10" spans="1:6" x14ac:dyDescent="0.25">
      <c r="A10" s="39">
        <v>5</v>
      </c>
      <c r="B10" s="32" t="s">
        <v>362</v>
      </c>
      <c r="C10" s="139">
        <v>84</v>
      </c>
    </row>
    <row r="11" spans="1:6" x14ac:dyDescent="0.25">
      <c r="A11" s="39">
        <v>6</v>
      </c>
      <c r="B11" s="32" t="s">
        <v>363</v>
      </c>
      <c r="C11" s="139">
        <v>16</v>
      </c>
      <c r="F11" t="s">
        <v>385</v>
      </c>
    </row>
    <row r="12" spans="1:6" x14ac:dyDescent="0.25">
      <c r="A12" s="39">
        <v>7</v>
      </c>
      <c r="B12" s="32" t="s">
        <v>364</v>
      </c>
      <c r="C12" s="139">
        <v>24</v>
      </c>
    </row>
    <row r="13" spans="1:6" x14ac:dyDescent="0.25">
      <c r="A13" s="39">
        <v>8</v>
      </c>
      <c r="B13" s="32" t="s">
        <v>365</v>
      </c>
      <c r="C13" s="139">
        <v>9</v>
      </c>
    </row>
    <row r="14" spans="1:6" x14ac:dyDescent="0.25">
      <c r="A14" s="39">
        <v>9</v>
      </c>
      <c r="B14" s="32" t="s">
        <v>366</v>
      </c>
      <c r="C14" s="139">
        <v>9</v>
      </c>
    </row>
    <row r="15" spans="1:6" x14ac:dyDescent="0.25">
      <c r="A15" s="39">
        <v>10</v>
      </c>
      <c r="B15" s="32" t="s">
        <v>367</v>
      </c>
      <c r="C15" s="139">
        <v>143</v>
      </c>
    </row>
    <row r="16" spans="1:6" x14ac:dyDescent="0.25">
      <c r="A16" s="39">
        <v>11</v>
      </c>
      <c r="B16" s="32" t="s">
        <v>368</v>
      </c>
      <c r="C16" s="139">
        <v>63</v>
      </c>
    </row>
    <row r="17" spans="1:3" x14ac:dyDescent="0.25">
      <c r="A17" s="39">
        <v>12</v>
      </c>
      <c r="B17" s="32" t="s">
        <v>369</v>
      </c>
      <c r="C17" s="139">
        <v>12</v>
      </c>
    </row>
    <row r="18" spans="1:3" ht="29.25" customHeight="1" x14ac:dyDescent="0.25">
      <c r="A18" s="39">
        <v>13</v>
      </c>
      <c r="B18" s="33" t="s">
        <v>370</v>
      </c>
      <c r="C18" s="139">
        <v>29</v>
      </c>
    </row>
    <row r="19" spans="1:3" ht="29.25" customHeight="1" x14ac:dyDescent="0.25">
      <c r="A19" s="40">
        <v>14</v>
      </c>
      <c r="B19" s="41" t="s">
        <v>371</v>
      </c>
      <c r="C19" s="139">
        <v>3</v>
      </c>
    </row>
    <row r="20" spans="1:3" ht="15.75" thickBot="1" x14ac:dyDescent="0.3">
      <c r="A20" s="36"/>
      <c r="B20" s="37" t="s">
        <v>108</v>
      </c>
      <c r="C20" s="62">
        <f>SUM(C6:C19)</f>
        <v>795</v>
      </c>
    </row>
  </sheetData>
  <mergeCells count="1">
    <mergeCell ref="A2:C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POP</vt:lpstr>
      <vt:lpstr>PIR</vt:lpstr>
      <vt:lpstr>Neizmirene obaveze</vt:lpstr>
      <vt:lpstr>Zaduženja</vt:lpstr>
      <vt:lpstr>Broj zaposlenih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korisnik</cp:lastModifiedBy>
  <cp:lastPrinted>2025-10-17T07:23:34Z</cp:lastPrinted>
  <dcterms:created xsi:type="dcterms:W3CDTF">2022-03-10T10:46:30Z</dcterms:created>
  <dcterms:modified xsi:type="dcterms:W3CDTF">2025-10-17T07:49:53Z</dcterms:modified>
</cp:coreProperties>
</file>