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ПЕТА СО\ОДЛУКЕ V СО-19.06.2025\"/>
    </mc:Choice>
  </mc:AlternateContent>
  <xr:revisionPtr revIDLastSave="0" documentId="13_ncr:1_{5BED1647-BEF1-4B0C-B2AD-EFE109DCA47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772" i="1" l="1"/>
  <c r="G776" i="1"/>
  <c r="G777" i="1"/>
  <c r="G786" i="1"/>
  <c r="G787" i="1"/>
  <c r="G788" i="1"/>
  <c r="G796" i="1"/>
  <c r="G744" i="1"/>
  <c r="G745" i="1"/>
  <c r="G746" i="1"/>
  <c r="G747" i="1"/>
  <c r="G749" i="1"/>
  <c r="G751" i="1"/>
  <c r="G754" i="1"/>
  <c r="G761" i="1"/>
  <c r="G697" i="1"/>
  <c r="G698" i="1"/>
  <c r="G699" i="1"/>
  <c r="G700" i="1"/>
  <c r="G702" i="1"/>
  <c r="G704" i="1"/>
  <c r="G708" i="1"/>
  <c r="G709" i="1"/>
  <c r="G711" i="1"/>
  <c r="G716" i="1"/>
  <c r="G718" i="1"/>
  <c r="G721" i="1"/>
  <c r="G722" i="1"/>
  <c r="G728" i="1"/>
  <c r="G730" i="1"/>
  <c r="G733" i="1"/>
  <c r="G736" i="1"/>
  <c r="G663" i="1"/>
  <c r="G665" i="1"/>
  <c r="G667" i="1"/>
  <c r="G672" i="1"/>
  <c r="G673" i="1"/>
  <c r="G675" i="1"/>
  <c r="G676" i="1"/>
  <c r="G677" i="1"/>
  <c r="G678" i="1"/>
  <c r="G679" i="1"/>
  <c r="G680" i="1"/>
  <c r="G683" i="1"/>
  <c r="G689" i="1"/>
  <c r="G640" i="1"/>
  <c r="G644" i="1"/>
  <c r="G645" i="1"/>
  <c r="G652" i="1"/>
  <c r="G608" i="1"/>
  <c r="G612" i="1"/>
  <c r="G615" i="1"/>
  <c r="G616" i="1"/>
  <c r="G617" i="1"/>
  <c r="G620" i="1"/>
  <c r="G621" i="1"/>
  <c r="G622" i="1"/>
  <c r="G624" i="1"/>
  <c r="G629" i="1"/>
  <c r="G587" i="1"/>
  <c r="G591" i="1"/>
  <c r="G597" i="1"/>
  <c r="G544" i="1"/>
  <c r="G545" i="1"/>
  <c r="G546" i="1"/>
  <c r="G547" i="1"/>
  <c r="G549" i="1"/>
  <c r="G552" i="1"/>
  <c r="G556" i="1"/>
  <c r="G557" i="1"/>
  <c r="G559" i="1"/>
  <c r="G562" i="1"/>
  <c r="G564" i="1"/>
  <c r="G565" i="1"/>
  <c r="G568" i="1"/>
  <c r="G571" i="1"/>
  <c r="G572" i="1"/>
  <c r="G573" i="1"/>
  <c r="G576" i="1"/>
  <c r="G525" i="1"/>
  <c r="G529" i="1"/>
  <c r="G530" i="1"/>
  <c r="G536" i="1"/>
  <c r="G500" i="1"/>
  <c r="G501" i="1"/>
  <c r="G502" i="1"/>
  <c r="G503" i="1"/>
  <c r="G505" i="1"/>
  <c r="G507" i="1"/>
  <c r="G508" i="1"/>
  <c r="G471" i="1"/>
  <c r="G472" i="1"/>
  <c r="G474" i="1"/>
  <c r="G476" i="1"/>
  <c r="G478" i="1"/>
  <c r="G480" i="1"/>
  <c r="G482" i="1"/>
  <c r="G488" i="1"/>
  <c r="G489" i="1"/>
  <c r="G445" i="1"/>
  <c r="G447" i="1"/>
  <c r="G449" i="1"/>
  <c r="G450" i="1"/>
  <c r="G453" i="1"/>
  <c r="G455" i="1"/>
  <c r="G457" i="1"/>
  <c r="G458" i="1"/>
  <c r="G425" i="1"/>
  <c r="G427" i="1"/>
  <c r="G430" i="1"/>
  <c r="G397" i="1"/>
  <c r="G399" i="1"/>
  <c r="G401" i="1"/>
  <c r="G409" i="1"/>
  <c r="G360" i="1"/>
  <c r="G362" i="1"/>
  <c r="G366" i="1"/>
  <c r="G372" i="1"/>
  <c r="G373" i="1"/>
  <c r="G302" i="1"/>
  <c r="G303" i="1"/>
  <c r="G304" i="1"/>
  <c r="G305" i="1"/>
  <c r="G306" i="1"/>
  <c r="G307" i="1"/>
  <c r="G308" i="1"/>
  <c r="G309" i="1"/>
  <c r="G311" i="1"/>
  <c r="G312" i="1"/>
  <c r="G316" i="1"/>
  <c r="G317" i="1"/>
  <c r="G321" i="1"/>
  <c r="G323" i="1"/>
  <c r="G324" i="1"/>
  <c r="G327" i="1"/>
  <c r="G329" i="1"/>
  <c r="G330" i="1"/>
  <c r="G331" i="1"/>
  <c r="G334" i="1"/>
  <c r="G336" i="1"/>
  <c r="G337" i="1"/>
  <c r="G340" i="1"/>
  <c r="G342" i="1"/>
  <c r="G281" i="1"/>
  <c r="G283" i="1"/>
  <c r="G284" i="1"/>
  <c r="G286" i="1"/>
  <c r="G294" i="1"/>
  <c r="G247" i="1"/>
  <c r="G249" i="1"/>
  <c r="G251" i="1"/>
  <c r="G254" i="1"/>
  <c r="G256" i="1"/>
  <c r="G260" i="1"/>
  <c r="G268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4" i="1"/>
  <c r="G225" i="1"/>
  <c r="G226" i="1"/>
  <c r="G227" i="1"/>
  <c r="G228" i="1"/>
  <c r="G229" i="1"/>
  <c r="G230" i="1"/>
  <c r="G28" i="1"/>
  <c r="G26" i="1"/>
  <c r="F149" i="1" l="1"/>
  <c r="E149" i="1"/>
  <c r="G149" i="1" l="1"/>
  <c r="F94" i="1"/>
  <c r="F93" i="1"/>
  <c r="E93" i="1"/>
  <c r="F92" i="1"/>
  <c r="E92" i="1"/>
  <c r="F91" i="1" l="1"/>
  <c r="E91" i="1"/>
  <c r="G91" i="1"/>
  <c r="G92" i="1"/>
  <c r="G93" i="1"/>
  <c r="F795" i="1" l="1"/>
  <c r="E795" i="1"/>
  <c r="E794" i="1" s="1"/>
  <c r="F794" i="1"/>
  <c r="F792" i="1"/>
  <c r="E792" i="1"/>
  <c r="E791" i="1"/>
  <c r="G791" i="1" s="1"/>
  <c r="E790" i="1"/>
  <c r="F789" i="1"/>
  <c r="E782" i="1"/>
  <c r="G782" i="1" s="1"/>
  <c r="F780" i="1"/>
  <c r="E780" i="1"/>
  <c r="F779" i="1"/>
  <c r="E779" i="1"/>
  <c r="F778" i="1"/>
  <c r="F775" i="1"/>
  <c r="E775" i="1"/>
  <c r="F773" i="1"/>
  <c r="E773" i="1"/>
  <c r="E768" i="1"/>
  <c r="F760" i="1"/>
  <c r="E760" i="1"/>
  <c r="F759" i="1"/>
  <c r="E759" i="1"/>
  <c r="F757" i="1"/>
  <c r="E757" i="1"/>
  <c r="F756" i="1"/>
  <c r="E756" i="1"/>
  <c r="F755" i="1"/>
  <c r="E755" i="1"/>
  <c r="F753" i="1"/>
  <c r="E753" i="1"/>
  <c r="F750" i="1"/>
  <c r="E750" i="1"/>
  <c r="F748" i="1"/>
  <c r="E748" i="1"/>
  <c r="F688" i="1"/>
  <c r="E688" i="1"/>
  <c r="F687" i="1"/>
  <c r="E687" i="1"/>
  <c r="F684" i="1"/>
  <c r="E684" i="1"/>
  <c r="F682" i="1"/>
  <c r="E682" i="1"/>
  <c r="F681" i="1"/>
  <c r="E681" i="1"/>
  <c r="F671" i="1"/>
  <c r="E671" i="1"/>
  <c r="E670" i="1" s="1"/>
  <c r="E669" i="1" s="1"/>
  <c r="F670" i="1"/>
  <c r="G670" i="1" s="1"/>
  <c r="F666" i="1"/>
  <c r="E666" i="1"/>
  <c r="F664" i="1"/>
  <c r="E664" i="1"/>
  <c r="E659" i="1"/>
  <c r="F651" i="1"/>
  <c r="E651" i="1"/>
  <c r="F650" i="1"/>
  <c r="E650" i="1"/>
  <c r="F648" i="1"/>
  <c r="E648" i="1"/>
  <c r="F647" i="1"/>
  <c r="E646" i="1"/>
  <c r="F643" i="1"/>
  <c r="E643" i="1"/>
  <c r="F641" i="1"/>
  <c r="E641" i="1"/>
  <c r="F628" i="1"/>
  <c r="E628" i="1"/>
  <c r="F627" i="1"/>
  <c r="E627" i="1"/>
  <c r="F623" i="1"/>
  <c r="E623" i="1"/>
  <c r="F619" i="1"/>
  <c r="E619" i="1"/>
  <c r="F618" i="1"/>
  <c r="E618" i="1"/>
  <c r="E613" i="1"/>
  <c r="G613" i="1" s="1"/>
  <c r="F611" i="1"/>
  <c r="E611" i="1"/>
  <c r="F609" i="1"/>
  <c r="E609" i="1"/>
  <c r="E604" i="1"/>
  <c r="G604" i="1" s="1"/>
  <c r="F596" i="1"/>
  <c r="E596" i="1"/>
  <c r="F595" i="1"/>
  <c r="E595" i="1"/>
  <c r="F593" i="1"/>
  <c r="E593" i="1"/>
  <c r="F590" i="1"/>
  <c r="E590" i="1"/>
  <c r="F588" i="1"/>
  <c r="E588" i="1"/>
  <c r="E583" i="1"/>
  <c r="F575" i="1"/>
  <c r="E575" i="1"/>
  <c r="F574" i="1"/>
  <c r="E574" i="1"/>
  <c r="F570" i="1"/>
  <c r="E570" i="1"/>
  <c r="E185" i="1" s="1"/>
  <c r="E567" i="1"/>
  <c r="G567" i="1" s="1"/>
  <c r="F563" i="1"/>
  <c r="E563" i="1"/>
  <c r="F561" i="1"/>
  <c r="E561" i="1"/>
  <c r="E560" i="1"/>
  <c r="G560" i="1" s="1"/>
  <c r="F558" i="1"/>
  <c r="E558" i="1"/>
  <c r="E555" i="1"/>
  <c r="G555" i="1" s="1"/>
  <c r="F551" i="1"/>
  <c r="E551" i="1"/>
  <c r="F550" i="1"/>
  <c r="E550" i="1"/>
  <c r="F548" i="1"/>
  <c r="E548" i="1"/>
  <c r="E543" i="1"/>
  <c r="F535" i="1"/>
  <c r="E535" i="1"/>
  <c r="F534" i="1"/>
  <c r="E534" i="1"/>
  <c r="F532" i="1"/>
  <c r="E532" i="1"/>
  <c r="F528" i="1"/>
  <c r="E528" i="1"/>
  <c r="F526" i="1"/>
  <c r="E526" i="1"/>
  <c r="E521" i="1"/>
  <c r="E514" i="1"/>
  <c r="G514" i="1" s="1"/>
  <c r="F513" i="1"/>
  <c r="E513" i="1"/>
  <c r="F512" i="1"/>
  <c r="E512" i="1"/>
  <c r="F509" i="1"/>
  <c r="E509" i="1"/>
  <c r="F506" i="1"/>
  <c r="E506" i="1"/>
  <c r="F504" i="1"/>
  <c r="E504" i="1"/>
  <c r="E499" i="1"/>
  <c r="F492" i="1"/>
  <c r="E492" i="1"/>
  <c r="F491" i="1"/>
  <c r="E491" i="1"/>
  <c r="F490" i="1"/>
  <c r="E490" i="1"/>
  <c r="F487" i="1"/>
  <c r="E487" i="1"/>
  <c r="F483" i="1"/>
  <c r="E483" i="1"/>
  <c r="F481" i="1"/>
  <c r="E481" i="1"/>
  <c r="F477" i="1"/>
  <c r="E477" i="1"/>
  <c r="F475" i="1"/>
  <c r="E475" i="1"/>
  <c r="F473" i="1"/>
  <c r="E473" i="1"/>
  <c r="E468" i="1"/>
  <c r="G468" i="1" s="1"/>
  <c r="E461" i="1"/>
  <c r="G461" i="1" s="1"/>
  <c r="F460" i="1"/>
  <c r="E460" i="1"/>
  <c r="F459" i="1"/>
  <c r="E459" i="1"/>
  <c r="F456" i="1"/>
  <c r="E456" i="1"/>
  <c r="F454" i="1"/>
  <c r="E454" i="1"/>
  <c r="F452" i="1"/>
  <c r="E452" i="1"/>
  <c r="E451" i="1"/>
  <c r="G451" i="1" s="1"/>
  <c r="F448" i="1"/>
  <c r="E448" i="1"/>
  <c r="F446" i="1"/>
  <c r="E446" i="1"/>
  <c r="E441" i="1"/>
  <c r="G441" i="1" s="1"/>
  <c r="E434" i="1"/>
  <c r="G434" i="1" s="1"/>
  <c r="F433" i="1"/>
  <c r="E433" i="1"/>
  <c r="F432" i="1"/>
  <c r="E432" i="1"/>
  <c r="F429" i="1"/>
  <c r="E429" i="1"/>
  <c r="F426" i="1"/>
  <c r="E426" i="1"/>
  <c r="F424" i="1"/>
  <c r="E424" i="1"/>
  <c r="E423" i="1"/>
  <c r="G423" i="1" s="1"/>
  <c r="F735" i="1"/>
  <c r="E735" i="1"/>
  <c r="F734" i="1"/>
  <c r="E734" i="1"/>
  <c r="F729" i="1"/>
  <c r="E729" i="1"/>
  <c r="E184" i="1" s="1"/>
  <c r="F720" i="1"/>
  <c r="E720" i="1"/>
  <c r="F717" i="1"/>
  <c r="E717" i="1"/>
  <c r="E181" i="1" s="1"/>
  <c r="F715" i="1"/>
  <c r="E715" i="1"/>
  <c r="E714" i="1"/>
  <c r="G714" i="1" s="1"/>
  <c r="F713" i="1"/>
  <c r="E713" i="1"/>
  <c r="F712" i="1"/>
  <c r="E712" i="1"/>
  <c r="E710" i="1"/>
  <c r="G710" i="1" s="1"/>
  <c r="F706" i="1"/>
  <c r="E706" i="1"/>
  <c r="E705" i="1" s="1"/>
  <c r="F703" i="1"/>
  <c r="F701" i="1"/>
  <c r="E701" i="1"/>
  <c r="E696" i="1"/>
  <c r="E412" i="1"/>
  <c r="G412" i="1" s="1"/>
  <c r="F411" i="1"/>
  <c r="E411" i="1"/>
  <c r="E410" i="1"/>
  <c r="F408" i="1"/>
  <c r="E408" i="1"/>
  <c r="F403" i="1"/>
  <c r="E403" i="1"/>
  <c r="F402" i="1"/>
  <c r="F111" i="1" s="1"/>
  <c r="E402" i="1"/>
  <c r="F400" i="1"/>
  <c r="E400" i="1"/>
  <c r="F398" i="1"/>
  <c r="E398" i="1"/>
  <c r="E393" i="1"/>
  <c r="G398" i="1" l="1"/>
  <c r="G400" i="1"/>
  <c r="G408" i="1"/>
  <c r="G411" i="1"/>
  <c r="G701" i="1"/>
  <c r="G712" i="1"/>
  <c r="G713" i="1"/>
  <c r="G424" i="1"/>
  <c r="G426" i="1"/>
  <c r="G429" i="1"/>
  <c r="G432" i="1"/>
  <c r="G433" i="1"/>
  <c r="G452" i="1"/>
  <c r="G454" i="1"/>
  <c r="G456" i="1"/>
  <c r="G459" i="1"/>
  <c r="G460" i="1"/>
  <c r="G473" i="1"/>
  <c r="G475" i="1"/>
  <c r="G477" i="1"/>
  <c r="G481" i="1"/>
  <c r="G487" i="1"/>
  <c r="G490" i="1"/>
  <c r="G491" i="1"/>
  <c r="G492" i="1"/>
  <c r="G548" i="1"/>
  <c r="G550" i="1"/>
  <c r="G551" i="1"/>
  <c r="G561" i="1"/>
  <c r="G563" i="1"/>
  <c r="G574" i="1"/>
  <c r="G575" i="1"/>
  <c r="G611" i="1"/>
  <c r="G664" i="1"/>
  <c r="G666" i="1"/>
  <c r="G671" i="1"/>
  <c r="G681" i="1"/>
  <c r="G682" i="1"/>
  <c r="G687" i="1"/>
  <c r="G688" i="1"/>
  <c r="G748" i="1"/>
  <c r="G750" i="1"/>
  <c r="G753" i="1"/>
  <c r="G755" i="1"/>
  <c r="G759" i="1"/>
  <c r="G760" i="1"/>
  <c r="G779" i="1"/>
  <c r="G780" i="1"/>
  <c r="G570" i="1"/>
  <c r="F185" i="1"/>
  <c r="F410" i="1"/>
  <c r="G410" i="1" s="1"/>
  <c r="E703" i="1"/>
  <c r="G703" i="1" s="1"/>
  <c r="G705" i="1"/>
  <c r="E111" i="1"/>
  <c r="G706" i="1"/>
  <c r="G715" i="1"/>
  <c r="G717" i="1"/>
  <c r="F181" i="1"/>
  <c r="G720" i="1"/>
  <c r="G729" i="1"/>
  <c r="F184" i="1"/>
  <c r="G734" i="1"/>
  <c r="G735" i="1"/>
  <c r="G446" i="1"/>
  <c r="G448" i="1"/>
  <c r="G504" i="1"/>
  <c r="G506" i="1"/>
  <c r="G512" i="1"/>
  <c r="G513" i="1"/>
  <c r="G528" i="1"/>
  <c r="G534" i="1"/>
  <c r="G535" i="1"/>
  <c r="G558" i="1"/>
  <c r="F566" i="1"/>
  <c r="G590" i="1"/>
  <c r="G595" i="1"/>
  <c r="G596" i="1"/>
  <c r="G618" i="1"/>
  <c r="G619" i="1"/>
  <c r="G623" i="1"/>
  <c r="G627" i="1"/>
  <c r="G628" i="1"/>
  <c r="G643" i="1"/>
  <c r="F646" i="1"/>
  <c r="G646" i="1" s="1"/>
  <c r="G647" i="1"/>
  <c r="G650" i="1"/>
  <c r="G651" i="1"/>
  <c r="F669" i="1"/>
  <c r="G669" i="1" s="1"/>
  <c r="G775" i="1"/>
  <c r="E789" i="1"/>
  <c r="E778" i="1" s="1"/>
  <c r="G778" i="1" s="1"/>
  <c r="G790" i="1"/>
  <c r="G794" i="1"/>
  <c r="G795" i="1"/>
  <c r="E566" i="1"/>
  <c r="F107" i="1"/>
  <c r="E107" i="1"/>
  <c r="F385" i="1"/>
  <c r="E385" i="1"/>
  <c r="F384" i="1"/>
  <c r="E383" i="1"/>
  <c r="E382" i="1"/>
  <c r="G382" i="1" s="1"/>
  <c r="E381" i="1"/>
  <c r="G381" i="1" s="1"/>
  <c r="F380" i="1"/>
  <c r="E378" i="1"/>
  <c r="G378" i="1" s="1"/>
  <c r="F377" i="1"/>
  <c r="E377" i="1"/>
  <c r="E375" i="1"/>
  <c r="F374" i="1"/>
  <c r="E374" i="1"/>
  <c r="F371" i="1"/>
  <c r="E371" i="1"/>
  <c r="F370" i="1"/>
  <c r="E370" i="1"/>
  <c r="E369" i="1"/>
  <c r="G369" i="1" s="1"/>
  <c r="F368" i="1"/>
  <c r="E368" i="1"/>
  <c r="F367" i="1"/>
  <c r="G367" i="1" s="1"/>
  <c r="E365" i="1"/>
  <c r="G365" i="1" s="1"/>
  <c r="F364" i="1"/>
  <c r="E364" i="1"/>
  <c r="E363" i="1"/>
  <c r="G363" i="1" s="1"/>
  <c r="E361" i="1"/>
  <c r="F359" i="1"/>
  <c r="E359" i="1"/>
  <c r="E358" i="1"/>
  <c r="E354" i="1"/>
  <c r="E347" i="1"/>
  <c r="G347" i="1" s="1"/>
  <c r="F346" i="1"/>
  <c r="E346" i="1"/>
  <c r="F345" i="1"/>
  <c r="E345" i="1"/>
  <c r="E343" i="1"/>
  <c r="E341" i="1"/>
  <c r="G341" i="1" s="1"/>
  <c r="F339" i="1"/>
  <c r="E339" i="1"/>
  <c r="F338" i="1"/>
  <c r="E338" i="1"/>
  <c r="F335" i="1"/>
  <c r="E335" i="1"/>
  <c r="E333" i="1"/>
  <c r="G333" i="1" s="1"/>
  <c r="F326" i="1"/>
  <c r="E326" i="1"/>
  <c r="F322" i="1"/>
  <c r="E322" i="1"/>
  <c r="E315" i="1"/>
  <c r="E314" i="1"/>
  <c r="G314" i="1" s="1"/>
  <c r="F313" i="1"/>
  <c r="F310" i="1"/>
  <c r="E310" i="1"/>
  <c r="E301" i="1"/>
  <c r="G277" i="1"/>
  <c r="F293" i="1"/>
  <c r="E293" i="1"/>
  <c r="F292" i="1"/>
  <c r="E292" i="1"/>
  <c r="F290" i="1"/>
  <c r="E290" i="1"/>
  <c r="F288" i="1"/>
  <c r="E288" i="1"/>
  <c r="F285" i="1"/>
  <c r="E285" i="1"/>
  <c r="F282" i="1"/>
  <c r="E282" i="1"/>
  <c r="E270" i="1"/>
  <c r="G270" i="1" s="1"/>
  <c r="E269" i="1"/>
  <c r="G269" i="1" s="1"/>
  <c r="F267" i="1"/>
  <c r="F266" i="1"/>
  <c r="F264" i="1"/>
  <c r="E264" i="1"/>
  <c r="E263" i="1"/>
  <c r="G263" i="1" s="1"/>
  <c r="F262" i="1"/>
  <c r="E262" i="1"/>
  <c r="F259" i="1"/>
  <c r="E259" i="1"/>
  <c r="F255" i="1"/>
  <c r="E255" i="1"/>
  <c r="F253" i="1"/>
  <c r="E253" i="1"/>
  <c r="F252" i="1"/>
  <c r="E252" i="1"/>
  <c r="E250" i="1"/>
  <c r="G250" i="1" s="1"/>
  <c r="F248" i="1"/>
  <c r="E248" i="1"/>
  <c r="G243" i="1"/>
  <c r="F209" i="1"/>
  <c r="F90" i="1" s="1"/>
  <c r="E235" i="1"/>
  <c r="F234" i="1"/>
  <c r="F233" i="1" s="1"/>
  <c r="F128" i="1"/>
  <c r="G209" i="1"/>
  <c r="F97" i="1"/>
  <c r="E97" i="1"/>
  <c r="F98" i="1"/>
  <c r="E98" i="1"/>
  <c r="F112" i="1"/>
  <c r="E112" i="1"/>
  <c r="F110" i="1"/>
  <c r="E110" i="1"/>
  <c r="E100" i="1"/>
  <c r="F96" i="1"/>
  <c r="E96" i="1"/>
  <c r="G110" i="1" l="1"/>
  <c r="G248" i="1"/>
  <c r="G282" i="1"/>
  <c r="G285" i="1"/>
  <c r="G292" i="1"/>
  <c r="G293" i="1"/>
  <c r="G310" i="1"/>
  <c r="G338" i="1"/>
  <c r="G339" i="1"/>
  <c r="G345" i="1"/>
  <c r="G346" i="1"/>
  <c r="G364" i="1"/>
  <c r="G368" i="1"/>
  <c r="G377" i="1"/>
  <c r="E234" i="1"/>
  <c r="G235" i="1"/>
  <c r="G301" i="1"/>
  <c r="E90" i="1"/>
  <c r="F328" i="1"/>
  <c r="G335" i="1"/>
  <c r="F379" i="1"/>
  <c r="F383" i="1"/>
  <c r="G383" i="1" s="1"/>
  <c r="G384" i="1"/>
  <c r="G789" i="1"/>
  <c r="G234" i="1"/>
  <c r="G90" i="1"/>
  <c r="G252" i="1"/>
  <c r="G253" i="1"/>
  <c r="G255" i="1"/>
  <c r="G259" i="1"/>
  <c r="F113" i="1"/>
  <c r="G262" i="1"/>
  <c r="E267" i="1"/>
  <c r="E266" i="1" s="1"/>
  <c r="G266" i="1" s="1"/>
  <c r="G315" i="1"/>
  <c r="E128" i="1"/>
  <c r="G322" i="1"/>
  <c r="G326" i="1"/>
  <c r="G358" i="1"/>
  <c r="E94" i="1"/>
  <c r="G94" i="1" s="1"/>
  <c r="G359" i="1"/>
  <c r="F361" i="1"/>
  <c r="G361" i="1" s="1"/>
  <c r="G370" i="1"/>
  <c r="G371" i="1"/>
  <c r="G566" i="1"/>
  <c r="E380" i="1"/>
  <c r="E379" i="1" s="1"/>
  <c r="F320" i="1"/>
  <c r="E313" i="1"/>
  <c r="G313" i="1" s="1"/>
  <c r="E328" i="1"/>
  <c r="E320" i="1" s="1"/>
  <c r="G98" i="1"/>
  <c r="E233" i="1"/>
  <c r="G233" i="1" s="1"/>
  <c r="G97" i="1"/>
  <c r="E95" i="1"/>
  <c r="G96" i="1"/>
  <c r="F95" i="1"/>
  <c r="G39" i="1"/>
  <c r="G41" i="1"/>
  <c r="G42" i="1"/>
  <c r="G44" i="1"/>
  <c r="G48" i="1"/>
  <c r="G50" i="1"/>
  <c r="G51" i="1"/>
  <c r="G53" i="1"/>
  <c r="G55" i="1"/>
  <c r="G59" i="1"/>
  <c r="G63" i="1"/>
  <c r="G65" i="1"/>
  <c r="G69" i="1"/>
  <c r="G71" i="1"/>
  <c r="G72" i="1"/>
  <c r="G73" i="1"/>
  <c r="G31" i="1"/>
  <c r="G32" i="1"/>
  <c r="G33" i="1"/>
  <c r="G35" i="1"/>
  <c r="G20" i="1"/>
  <c r="G21" i="1"/>
  <c r="G12" i="1"/>
  <c r="G13" i="1"/>
  <c r="G14" i="1"/>
  <c r="G15" i="1"/>
  <c r="G16" i="1"/>
  <c r="G17" i="1"/>
  <c r="G18" i="1"/>
  <c r="G10" i="1"/>
  <c r="F180" i="1"/>
  <c r="F183" i="1"/>
  <c r="E183" i="1"/>
  <c r="F182" i="1"/>
  <c r="E182" i="1"/>
  <c r="F165" i="1"/>
  <c r="E165" i="1"/>
  <c r="F157" i="1"/>
  <c r="E157" i="1"/>
  <c r="F135" i="1"/>
  <c r="E135" i="1"/>
  <c r="F146" i="1"/>
  <c r="F147" i="1"/>
  <c r="E147" i="1"/>
  <c r="E146" i="1"/>
  <c r="F140" i="1"/>
  <c r="E140" i="1"/>
  <c r="F136" i="1"/>
  <c r="E136" i="1"/>
  <c r="F125" i="1"/>
  <c r="E125" i="1"/>
  <c r="E113" i="1"/>
  <c r="F106" i="1"/>
  <c r="E106" i="1"/>
  <c r="E180" i="1"/>
  <c r="G768" i="1"/>
  <c r="F767" i="1"/>
  <c r="F765" i="1" s="1"/>
  <c r="E767" i="1"/>
  <c r="E765" i="1" s="1"/>
  <c r="G743" i="1"/>
  <c r="F742" i="1"/>
  <c r="F740" i="1" s="1"/>
  <c r="E742" i="1"/>
  <c r="E740" i="1" s="1"/>
  <c r="F179" i="1" l="1"/>
  <c r="G379" i="1"/>
  <c r="G320" i="1"/>
  <c r="G328" i="1"/>
  <c r="G180" i="1"/>
  <c r="G380" i="1"/>
  <c r="E89" i="1"/>
  <c r="G267" i="1"/>
  <c r="F186" i="1"/>
  <c r="E179" i="1"/>
  <c r="E186" i="1"/>
  <c r="G767" i="1"/>
  <c r="G765" i="1"/>
  <c r="G740" i="1"/>
  <c r="G742" i="1"/>
  <c r="E164" i="1" l="1"/>
  <c r="G521" i="1"/>
  <c r="F520" i="1"/>
  <c r="F518" i="1" s="1"/>
  <c r="E520" i="1"/>
  <c r="E518" i="1" s="1"/>
  <c r="G518" i="1" l="1"/>
  <c r="G520" i="1"/>
  <c r="F89" i="1"/>
  <c r="E542" i="1" l="1"/>
  <c r="E540" i="1" s="1"/>
  <c r="F542" i="1"/>
  <c r="G543" i="1"/>
  <c r="G419" i="1"/>
  <c r="G542" i="1" l="1"/>
  <c r="F540" i="1"/>
  <c r="G540" i="1" s="1"/>
  <c r="F47" i="1"/>
  <c r="E47" i="1"/>
  <c r="E22" i="1"/>
  <c r="E19" i="1"/>
  <c r="E30" i="1"/>
  <c r="F658" i="1"/>
  <c r="F656" i="1" s="1"/>
  <c r="E658" i="1"/>
  <c r="E656" i="1" s="1"/>
  <c r="F635" i="1"/>
  <c r="E635" i="1"/>
  <c r="F603" i="1"/>
  <c r="E603" i="1"/>
  <c r="F582" i="1"/>
  <c r="F580" i="1" s="1"/>
  <c r="E582" i="1"/>
  <c r="F498" i="1"/>
  <c r="E498" i="1"/>
  <c r="F467" i="1"/>
  <c r="E467" i="1"/>
  <c r="F440" i="1"/>
  <c r="E440" i="1"/>
  <c r="F418" i="1"/>
  <c r="E418" i="1"/>
  <c r="F392" i="1"/>
  <c r="E392" i="1"/>
  <c r="E390" i="1" s="1"/>
  <c r="F353" i="1"/>
  <c r="E353" i="1"/>
  <c r="F300" i="1"/>
  <c r="E300" i="1"/>
  <c r="F695" i="1"/>
  <c r="F693" i="1" s="1"/>
  <c r="E695" i="1"/>
  <c r="E693" i="1" s="1"/>
  <c r="F276" i="1"/>
  <c r="E276" i="1"/>
  <c r="F242" i="1"/>
  <c r="E242" i="1"/>
  <c r="E208" i="1"/>
  <c r="E206" i="1" s="1"/>
  <c r="F150" i="1"/>
  <c r="E150" i="1"/>
  <c r="F148" i="1"/>
  <c r="E148" i="1"/>
  <c r="E9" i="1"/>
  <c r="G47" i="1" l="1"/>
  <c r="G467" i="1"/>
  <c r="G148" i="1"/>
  <c r="E8" i="1"/>
  <c r="F108" i="1"/>
  <c r="E108" i="1"/>
  <c r="E109" i="1"/>
  <c r="F351" i="1"/>
  <c r="E351" i="1"/>
  <c r="F19" i="1"/>
  <c r="F124" i="1"/>
  <c r="F123" i="1"/>
  <c r="F160" i="1"/>
  <c r="E160" i="1"/>
  <c r="G696" i="1"/>
  <c r="G695" i="1"/>
  <c r="E298" i="1"/>
  <c r="F298" i="1"/>
  <c r="G300" i="1"/>
  <c r="E239" i="1"/>
  <c r="F239" i="1"/>
  <c r="F9" i="1"/>
  <c r="F22" i="1"/>
  <c r="E25" i="1"/>
  <c r="F25" i="1"/>
  <c r="E27" i="1"/>
  <c r="F27" i="1"/>
  <c r="F30" i="1"/>
  <c r="E34" i="1"/>
  <c r="F34" i="1"/>
  <c r="E38" i="1"/>
  <c r="F38" i="1"/>
  <c r="E40" i="1"/>
  <c r="F40" i="1"/>
  <c r="E43" i="1"/>
  <c r="F43" i="1"/>
  <c r="E49" i="1"/>
  <c r="F49" i="1"/>
  <c r="E52" i="1"/>
  <c r="F52" i="1"/>
  <c r="E54" i="1"/>
  <c r="F54" i="1"/>
  <c r="E58" i="1"/>
  <c r="E57" i="1" s="1"/>
  <c r="E56" i="1" s="1"/>
  <c r="F58" i="1"/>
  <c r="E61" i="1"/>
  <c r="F61" i="1"/>
  <c r="E64" i="1"/>
  <c r="F64" i="1"/>
  <c r="E67" i="1"/>
  <c r="F67" i="1"/>
  <c r="E70" i="1"/>
  <c r="F70" i="1"/>
  <c r="E76" i="1"/>
  <c r="E75" i="1" s="1"/>
  <c r="E74" i="1" s="1"/>
  <c r="F76" i="1"/>
  <c r="F127" i="1"/>
  <c r="E127" i="1"/>
  <c r="G52" i="1" l="1"/>
  <c r="G38" i="1"/>
  <c r="G34" i="1"/>
  <c r="E105" i="1"/>
  <c r="G70" i="1"/>
  <c r="G67" i="1"/>
  <c r="G64" i="1"/>
  <c r="G61" i="1"/>
  <c r="G54" i="1"/>
  <c r="G49" i="1"/>
  <c r="G43" i="1"/>
  <c r="G40" i="1"/>
  <c r="F75" i="1"/>
  <c r="F57" i="1"/>
  <c r="G58" i="1"/>
  <c r="E60" i="1"/>
  <c r="F60" i="1"/>
  <c r="F46" i="1"/>
  <c r="E46" i="1"/>
  <c r="G160" i="1"/>
  <c r="G298" i="1"/>
  <c r="G150" i="1"/>
  <c r="G146" i="1"/>
  <c r="F8" i="1"/>
  <c r="F66" i="1"/>
  <c r="E66" i="1"/>
  <c r="F29" i="1"/>
  <c r="E29" i="1"/>
  <c r="F24" i="1"/>
  <c r="E24" i="1"/>
  <c r="F115" i="1"/>
  <c r="E115" i="1"/>
  <c r="F102" i="1"/>
  <c r="E102" i="1"/>
  <c r="F101" i="1"/>
  <c r="E101" i="1"/>
  <c r="F100" i="1"/>
  <c r="F633" i="1"/>
  <c r="E633" i="1"/>
  <c r="F601" i="1"/>
  <c r="E601" i="1"/>
  <c r="E580" i="1"/>
  <c r="F496" i="1"/>
  <c r="E496" i="1"/>
  <c r="F465" i="1"/>
  <c r="E465" i="1"/>
  <c r="F438" i="1"/>
  <c r="E438" i="1"/>
  <c r="F416" i="1"/>
  <c r="E416" i="1"/>
  <c r="F390" i="1"/>
  <c r="F274" i="1"/>
  <c r="E274" i="1"/>
  <c r="G23" i="1"/>
  <c r="G66" i="1" l="1"/>
  <c r="G60" i="1"/>
  <c r="F56" i="1"/>
  <c r="G56" i="1" s="1"/>
  <c r="G57" i="1"/>
  <c r="F74" i="1"/>
  <c r="G46" i="1"/>
  <c r="G416" i="1"/>
  <c r="E7" i="1"/>
  <c r="F78" i="1"/>
  <c r="F7" i="1"/>
  <c r="E163" i="1"/>
  <c r="E162" i="1" s="1"/>
  <c r="E161" i="1" s="1"/>
  <c r="G19" i="1" l="1"/>
  <c r="G22" i="1"/>
  <c r="F104" i="1"/>
  <c r="E104" i="1"/>
  <c r="F109" i="1"/>
  <c r="F121" i="1"/>
  <c r="E121" i="1"/>
  <c r="F159" i="1"/>
  <c r="E159" i="1"/>
  <c r="G9" i="1" l="1"/>
  <c r="G30" i="1"/>
  <c r="G27" i="1"/>
  <c r="G25" i="1"/>
  <c r="G8" i="1"/>
  <c r="G29" i="1"/>
  <c r="G24" i="1" l="1"/>
  <c r="E78" i="1"/>
  <c r="G78" i="1" s="1"/>
  <c r="G658" i="1"/>
  <c r="G659" i="1"/>
  <c r="G635" i="1"/>
  <c r="G636" i="1"/>
  <c r="G633" i="1"/>
  <c r="G603" i="1"/>
  <c r="G601" i="1"/>
  <c r="G582" i="1"/>
  <c r="G583" i="1"/>
  <c r="G580" i="1"/>
  <c r="G498" i="1"/>
  <c r="G499" i="1"/>
  <c r="G496" i="1"/>
  <c r="G465" i="1"/>
  <c r="G440" i="1"/>
  <c r="G438" i="1"/>
  <c r="G418" i="1"/>
  <c r="G393" i="1"/>
  <c r="G392" i="1"/>
  <c r="G390" i="1"/>
  <c r="G353" i="1"/>
  <c r="G354" i="1"/>
  <c r="G351" i="1"/>
  <c r="G693" i="1"/>
  <c r="G276" i="1"/>
  <c r="G274" i="1"/>
  <c r="G242" i="1"/>
  <c r="G239" i="1"/>
  <c r="F208" i="1"/>
  <c r="F206" i="1" l="1"/>
  <c r="F798" i="1" s="1"/>
  <c r="G656" i="1"/>
  <c r="G208" i="1"/>
  <c r="F164" i="1"/>
  <c r="F168" i="1"/>
  <c r="E168" i="1"/>
  <c r="F167" i="1"/>
  <c r="F166" i="1" s="1"/>
  <c r="E167" i="1"/>
  <c r="E166" i="1" s="1"/>
  <c r="F163" i="1"/>
  <c r="F162" i="1" s="1"/>
  <c r="F158" i="1"/>
  <c r="E158" i="1"/>
  <c r="F156" i="1"/>
  <c r="E156" i="1"/>
  <c r="F155" i="1"/>
  <c r="E155" i="1"/>
  <c r="F154" i="1"/>
  <c r="E154" i="1"/>
  <c r="F153" i="1"/>
  <c r="F152" i="1" s="1"/>
  <c r="E153" i="1"/>
  <c r="E152" i="1" s="1"/>
  <c r="F145" i="1"/>
  <c r="E145" i="1"/>
  <c r="F144" i="1"/>
  <c r="E144" i="1"/>
  <c r="F143" i="1"/>
  <c r="E143" i="1"/>
  <c r="F142" i="1"/>
  <c r="F141" i="1" s="1"/>
  <c r="E142" i="1"/>
  <c r="E141" i="1" s="1"/>
  <c r="F139" i="1"/>
  <c r="E139" i="1"/>
  <c r="F138" i="1"/>
  <c r="E138" i="1"/>
  <c r="F137" i="1"/>
  <c r="E137" i="1"/>
  <c r="F134" i="1"/>
  <c r="E134" i="1"/>
  <c r="F131" i="1"/>
  <c r="F130" i="1" s="1"/>
  <c r="F129" i="1" s="1"/>
  <c r="E131" i="1"/>
  <c r="E130" i="1" s="1"/>
  <c r="E129" i="1" s="1"/>
  <c r="F126" i="1"/>
  <c r="F122" i="1" s="1"/>
  <c r="E126" i="1"/>
  <c r="E124" i="1"/>
  <c r="E123" i="1"/>
  <c r="F119" i="1"/>
  <c r="F118" i="1" s="1"/>
  <c r="E119" i="1"/>
  <c r="E118" i="1" s="1"/>
  <c r="F117" i="1"/>
  <c r="F116" i="1" s="1"/>
  <c r="E117" i="1"/>
  <c r="E116" i="1" s="1"/>
  <c r="F114" i="1"/>
  <c r="E114" i="1"/>
  <c r="G159" i="1"/>
  <c r="F105" i="1"/>
  <c r="F103" i="1"/>
  <c r="E103" i="1"/>
  <c r="E99" i="1" s="1"/>
  <c r="F120" i="1"/>
  <c r="E120" i="1"/>
  <c r="G109" i="1"/>
  <c r="E133" i="1" l="1"/>
  <c r="E798" i="1"/>
  <c r="G798" i="1" s="1"/>
  <c r="E122" i="1"/>
  <c r="E88" i="1" s="1"/>
  <c r="E151" i="1"/>
  <c r="F99" i="1"/>
  <c r="G141" i="1"/>
  <c r="G182" i="1"/>
  <c r="F151" i="1"/>
  <c r="G206" i="1"/>
  <c r="G128" i="1"/>
  <c r="G156" i="1"/>
  <c r="G158" i="1"/>
  <c r="G119" i="1"/>
  <c r="G153" i="1"/>
  <c r="G165" i="1"/>
  <c r="G183" i="1"/>
  <c r="G102" i="1"/>
  <c r="G123" i="1"/>
  <c r="G167" i="1"/>
  <c r="G140" i="1"/>
  <c r="G154" i="1"/>
  <c r="G181" i="1"/>
  <c r="G184" i="1"/>
  <c r="G108" i="1"/>
  <c r="G100" i="1"/>
  <c r="G101" i="1"/>
  <c r="G103" i="1"/>
  <c r="G107" i="1"/>
  <c r="G136" i="1"/>
  <c r="F161" i="1"/>
  <c r="G147" i="1"/>
  <c r="G144" i="1"/>
  <c r="G143" i="1"/>
  <c r="G138" i="1"/>
  <c r="G135" i="1"/>
  <c r="G126" i="1"/>
  <c r="G124" i="1"/>
  <c r="G117" i="1"/>
  <c r="G163" i="1"/>
  <c r="G121" i="1"/>
  <c r="G134" i="1"/>
  <c r="G113" i="1"/>
  <c r="G157" i="1"/>
  <c r="G95" i="1"/>
  <c r="G115" i="1"/>
  <c r="G127" i="1"/>
  <c r="G155" i="1"/>
  <c r="G106" i="1"/>
  <c r="G111" i="1"/>
  <c r="G118" i="1"/>
  <c r="G120" i="1"/>
  <c r="G125" i="1"/>
  <c r="G137" i="1"/>
  <c r="G142" i="1"/>
  <c r="G164" i="1"/>
  <c r="G166" i="1"/>
  <c r="G185" i="1"/>
  <c r="G114" i="1"/>
  <c r="G116" i="1"/>
  <c r="G162" i="1"/>
  <c r="E132" i="1" l="1"/>
  <c r="F133" i="1"/>
  <c r="F132" i="1" s="1"/>
  <c r="G122" i="1"/>
  <c r="G89" i="1"/>
  <c r="G105" i="1"/>
  <c r="G152" i="1"/>
  <c r="G179" i="1"/>
  <c r="F88" i="1"/>
  <c r="F169" i="1" s="1"/>
  <c r="F187" i="1" s="1"/>
  <c r="G151" i="1"/>
  <c r="G161" i="1"/>
  <c r="G7" i="1"/>
  <c r="G99" i="1"/>
  <c r="E169" i="1" l="1"/>
  <c r="E187" i="1" s="1"/>
  <c r="G133" i="1"/>
  <c r="G132" i="1"/>
  <c r="G88" i="1"/>
  <c r="G169" i="1" l="1"/>
  <c r="G186" i="1"/>
  <c r="G187" i="1"/>
</calcChain>
</file>

<file path=xl/sharedStrings.xml><?xml version="1.0" encoding="utf-8"?>
<sst xmlns="http://schemas.openxmlformats.org/spreadsheetml/2006/main" count="1258" uniqueCount="391">
  <si>
    <t>OPIS</t>
  </si>
  <si>
    <t>01</t>
  </si>
  <si>
    <t>Služba Predsjednika</t>
  </si>
  <si>
    <t>411</t>
  </si>
  <si>
    <t>Bruto zarade i doprinosi na teret poslodavca</t>
  </si>
  <si>
    <t>4111</t>
  </si>
  <si>
    <t>Neto zarade</t>
  </si>
  <si>
    <t>4112</t>
  </si>
  <si>
    <t>Porez na zarade</t>
  </si>
  <si>
    <t>4113</t>
  </si>
  <si>
    <t>Doprinosi na teret zaposlenog</t>
  </si>
  <si>
    <t>4114</t>
  </si>
  <si>
    <t>Doprinosi na teret poslodavca</t>
  </si>
  <si>
    <t>4115</t>
  </si>
  <si>
    <t>Opštinski prirez</t>
  </si>
  <si>
    <t>412</t>
  </si>
  <si>
    <t>Ostala lična primanja</t>
  </si>
  <si>
    <t>4127</t>
  </si>
  <si>
    <t>Ostale naknade</t>
  </si>
  <si>
    <t>413</t>
  </si>
  <si>
    <t>Rashodi za materijal</t>
  </si>
  <si>
    <t>4131</t>
  </si>
  <si>
    <t>Administrativni materijal</t>
  </si>
  <si>
    <t>4133</t>
  </si>
  <si>
    <t>Materijal za posebne namjene</t>
  </si>
  <si>
    <t>4139</t>
  </si>
  <si>
    <t>Ostali rashod za materijal</t>
  </si>
  <si>
    <t>414</t>
  </si>
  <si>
    <t>Rashodi za usluge</t>
  </si>
  <si>
    <t>4141</t>
  </si>
  <si>
    <t>Službena putovanja</t>
  </si>
  <si>
    <t>4142</t>
  </si>
  <si>
    <t>Reprezentacija</t>
  </si>
  <si>
    <t>4143</t>
  </si>
  <si>
    <t>Komunikacione usluge</t>
  </si>
  <si>
    <t>4147</t>
  </si>
  <si>
    <t>Konsultantske usluge, projekti i studije</t>
  </si>
  <si>
    <t>4149</t>
  </si>
  <si>
    <t>Ostale usluge</t>
  </si>
  <si>
    <t>415</t>
  </si>
  <si>
    <t>Rashodi za tekuće održavanje</t>
  </si>
  <si>
    <t>4153</t>
  </si>
  <si>
    <t>Tekuće održavanje opreme</t>
  </si>
  <si>
    <t>431</t>
  </si>
  <si>
    <t>Transferi institucijama, pojedincima, nevladinom i javnom sektoru</t>
  </si>
  <si>
    <t>4316</t>
  </si>
  <si>
    <t>Transferi za jednokratne socijalne pomoći</t>
  </si>
  <si>
    <t>441</t>
  </si>
  <si>
    <t>Kapitalni izdaci</t>
  </si>
  <si>
    <t>4415</t>
  </si>
  <si>
    <t>Izdaci za opremu</t>
  </si>
  <si>
    <t>4416</t>
  </si>
  <si>
    <t>Izdaci za investiciono održavanje</t>
  </si>
  <si>
    <t>463</t>
  </si>
  <si>
    <t>Otplata obaveza iz prethodnih godina</t>
  </si>
  <si>
    <t>4631</t>
  </si>
  <si>
    <t>Otplata obaveza iz prethodnog perioda</t>
  </si>
  <si>
    <t>46315</t>
  </si>
  <si>
    <t>Otplata neizmirenih obaveza iz prethodnih godina</t>
  </si>
  <si>
    <t>02</t>
  </si>
  <si>
    <t>Služba za skupštinske poslove</t>
  </si>
  <si>
    <t>4126</t>
  </si>
  <si>
    <t>Naknada skupstinskim poslanicima</t>
  </si>
  <si>
    <t>41271</t>
  </si>
  <si>
    <t>Ostale naknade (Savjeti, radna tijela,etičke komisije i drugo)</t>
  </si>
  <si>
    <t>4315</t>
  </si>
  <si>
    <t>Transferi političkim partijama, strankama i udruženjima</t>
  </si>
  <si>
    <t>46312</t>
  </si>
  <si>
    <t>Otplata neizmirenih obaveza za odborničke naknade</t>
  </si>
  <si>
    <t>46313</t>
  </si>
  <si>
    <t>Otplata po osnovu transfera političkim partijama, strankama i udruženjima</t>
  </si>
  <si>
    <t>03</t>
  </si>
  <si>
    <t>Služba Glavnog Administratora</t>
  </si>
  <si>
    <t>422</t>
  </si>
  <si>
    <t>Sredstva za tehnološke viškove</t>
  </si>
  <si>
    <t>4222</t>
  </si>
  <si>
    <t>Otpremnine za tehnološke viškove</t>
  </si>
  <si>
    <t>04</t>
  </si>
  <si>
    <t>432</t>
  </si>
  <si>
    <t>Ostali transferi</t>
  </si>
  <si>
    <t>4326</t>
  </si>
  <si>
    <t>Transferi javnim preduzećima</t>
  </si>
  <si>
    <t>43265</t>
  </si>
  <si>
    <t>DOO Agencija za izgradnju i razvoj Berana</t>
  </si>
  <si>
    <t>4413</t>
  </si>
  <si>
    <t>Izdaci za građevinske objekte</t>
  </si>
  <si>
    <t>05</t>
  </si>
  <si>
    <t>Sekretarijat za opštu upravu i društvene djelatnosti</t>
  </si>
  <si>
    <t>419</t>
  </si>
  <si>
    <t>Ostali izdaci</t>
  </si>
  <si>
    <t>4191</t>
  </si>
  <si>
    <t>Izdaci po osnovu isplate ugovora o djelu</t>
  </si>
  <si>
    <t>4199</t>
  </si>
  <si>
    <t>Ostalo</t>
  </si>
  <si>
    <t>41991</t>
  </si>
  <si>
    <t>Rodna ravnopravnost</t>
  </si>
  <si>
    <t>41992</t>
  </si>
  <si>
    <t>Kancelarija za prevenciju narkomanije</t>
  </si>
  <si>
    <t>4312</t>
  </si>
  <si>
    <t>Transferi obrazovanju</t>
  </si>
  <si>
    <t>4317</t>
  </si>
  <si>
    <t>Transferi za lična primanja pripravnika</t>
  </si>
  <si>
    <t>4318</t>
  </si>
  <si>
    <t>Ostali transferi pojedincima</t>
  </si>
  <si>
    <t>43181</t>
  </si>
  <si>
    <t>4319</t>
  </si>
  <si>
    <t>Ostali transferi institucijama</t>
  </si>
  <si>
    <t>43191</t>
  </si>
  <si>
    <t>Transferi mjesnim zajednicama</t>
  </si>
  <si>
    <t>43192</t>
  </si>
  <si>
    <t>Transferi turističkoj organizaciji</t>
  </si>
  <si>
    <t>43193</t>
  </si>
  <si>
    <t>43194</t>
  </si>
  <si>
    <t>Crveni krst</t>
  </si>
  <si>
    <t>43262</t>
  </si>
  <si>
    <t>DOO Radio Berane</t>
  </si>
  <si>
    <t>43264</t>
  </si>
  <si>
    <t>DOO Benergo</t>
  </si>
  <si>
    <t>43266</t>
  </si>
  <si>
    <t>DOO Regionalni biznis centar</t>
  </si>
  <si>
    <t>4134</t>
  </si>
  <si>
    <t>Rashodi za energiju</t>
  </si>
  <si>
    <t>4196</t>
  </si>
  <si>
    <t>Komunalne naknade</t>
  </si>
  <si>
    <t>4313</t>
  </si>
  <si>
    <t>Transferi institucijama kulture i sporta</t>
  </si>
  <si>
    <t>43132</t>
  </si>
  <si>
    <t>Transferi institucijama kulture</t>
  </si>
  <si>
    <t>431327</t>
  </si>
  <si>
    <t>431329</t>
  </si>
  <si>
    <t>Ostali transferi za kulturu</t>
  </si>
  <si>
    <t>4419</t>
  </si>
  <si>
    <t>Ostali kapitalni izdaci</t>
  </si>
  <si>
    <t>06</t>
  </si>
  <si>
    <t>Sekretarijat za finansije i ekonomski razvoj</t>
  </si>
  <si>
    <t>4144</t>
  </si>
  <si>
    <t>Bankarske usluge i negativne kursne razlike</t>
  </si>
  <si>
    <t>416</t>
  </si>
  <si>
    <t>Kamate</t>
  </si>
  <si>
    <t>4161</t>
  </si>
  <si>
    <t>Kamate rezidentima</t>
  </si>
  <si>
    <t>461</t>
  </si>
  <si>
    <t>Otplata duga</t>
  </si>
  <si>
    <t>4611</t>
  </si>
  <si>
    <t>Otplata hartija od vrijednosti i kredita rezidentima</t>
  </si>
  <si>
    <t>46314</t>
  </si>
  <si>
    <t>Reprogram poreskog duga</t>
  </si>
  <si>
    <t>471</t>
  </si>
  <si>
    <t>Tekuća budžetska rezerva</t>
  </si>
  <si>
    <t>4711</t>
  </si>
  <si>
    <t>472</t>
  </si>
  <si>
    <t>Stalna budžetska rezerva</t>
  </si>
  <si>
    <t>4721</t>
  </si>
  <si>
    <t>07</t>
  </si>
  <si>
    <t>Sekretarijat za planiranje i uređenje prostora</t>
  </si>
  <si>
    <t>41471</t>
  </si>
  <si>
    <t>Izrade projekata</t>
  </si>
  <si>
    <t>414713</t>
  </si>
  <si>
    <t>Geodetske podloge za projektnu i plansku dokumentaciju</t>
  </si>
  <si>
    <t>414714</t>
  </si>
  <si>
    <t>08</t>
  </si>
  <si>
    <t>Sekretarijat za inspekcijske poslove</t>
  </si>
  <si>
    <t>10</t>
  </si>
  <si>
    <t>Direkcija za imovinu</t>
  </si>
  <si>
    <t>417</t>
  </si>
  <si>
    <t>Renta</t>
  </si>
  <si>
    <t>4171</t>
  </si>
  <si>
    <t>Zakup objekata</t>
  </si>
  <si>
    <t>4192</t>
  </si>
  <si>
    <t>Izdaci po osnovu troškova sudskih postupaka</t>
  </si>
  <si>
    <t>4412</t>
  </si>
  <si>
    <t>Izdaci za lokalnu infrastrukturu</t>
  </si>
  <si>
    <t>11</t>
  </si>
  <si>
    <t>Služba zaštite</t>
  </si>
  <si>
    <t>12</t>
  </si>
  <si>
    <t>Uprava za naplatu lokalnih javnih prihoda</t>
  </si>
  <si>
    <t>13</t>
  </si>
  <si>
    <t>Izrada i održavanje softvera</t>
  </si>
  <si>
    <t>14</t>
  </si>
  <si>
    <t>Služba za zajedničke poslove</t>
  </si>
  <si>
    <t>4135</t>
  </si>
  <si>
    <t>Rashodi za gorivo</t>
  </si>
  <si>
    <t>4194</t>
  </si>
  <si>
    <t>Osiguranje</t>
  </si>
  <si>
    <t>15</t>
  </si>
  <si>
    <t>Služba za unutrašnju reviziju</t>
  </si>
  <si>
    <t>16</t>
  </si>
  <si>
    <t>Sekretarijat za komunalno-stambene poslove i saobraćaj</t>
  </si>
  <si>
    <t>43261</t>
  </si>
  <si>
    <t>DOO Komunalno</t>
  </si>
  <si>
    <t>43267</t>
  </si>
  <si>
    <t>DOO Parking servis</t>
  </si>
  <si>
    <t>17</t>
  </si>
  <si>
    <t>Sekretarijat za poljoprivredu, turizam, vodoprivredu i zaštitu životne sredine</t>
  </si>
  <si>
    <t>418</t>
  </si>
  <si>
    <t>Subvencije</t>
  </si>
  <si>
    <t>4181</t>
  </si>
  <si>
    <t>Subvencije za proizvodnju i pružanje usluga</t>
  </si>
  <si>
    <t>18</t>
  </si>
  <si>
    <t>43131</t>
  </si>
  <si>
    <t>Transferi institucijama sporta</t>
  </si>
  <si>
    <t>431311</t>
  </si>
  <si>
    <t>Transferi prema sportskim klubovima</t>
  </si>
  <si>
    <t>431312</t>
  </si>
  <si>
    <t>MOSI</t>
  </si>
  <si>
    <t>431313</t>
  </si>
  <si>
    <t>Sportska rekreacija i sport osoba sa invaliditetom</t>
  </si>
  <si>
    <t>431314</t>
  </si>
  <si>
    <t>Stručno usavršavanje</t>
  </si>
  <si>
    <t>431316</t>
  </si>
  <si>
    <t>Godišnja priznanja i nagrade</t>
  </si>
  <si>
    <t>431317</t>
  </si>
  <si>
    <t>Školski sport</t>
  </si>
  <si>
    <t>431318</t>
  </si>
  <si>
    <t>Organizacije sportskih manifestacija</t>
  </si>
  <si>
    <t>431319</t>
  </si>
  <si>
    <t>Ostali transferi za sport</t>
  </si>
  <si>
    <t>431325</t>
  </si>
  <si>
    <t>Organizacija koncerata</t>
  </si>
  <si>
    <t>431326</t>
  </si>
  <si>
    <t>Likovni susret "Djeca na asfaltu" i Foto izložba</t>
  </si>
  <si>
    <t>431328</t>
  </si>
  <si>
    <t>Veče poezije "Ladica Đinđuva po trgu prosuta"</t>
  </si>
  <si>
    <t>4314</t>
  </si>
  <si>
    <t>Transferi nevladinim organizacijama</t>
  </si>
  <si>
    <t>43263</t>
  </si>
  <si>
    <t>DOO Sportski centar</t>
  </si>
  <si>
    <t>OPŠTI DIO</t>
  </si>
  <si>
    <t>Ekonomska klasifikacija</t>
  </si>
  <si>
    <t>PLAN</t>
  </si>
  <si>
    <t>REALIZOVANO</t>
  </si>
  <si>
    <t>INDEX</t>
  </si>
  <si>
    <t>PRIMICI</t>
  </si>
  <si>
    <t>Tekući prihodi</t>
  </si>
  <si>
    <t>Porezi</t>
  </si>
  <si>
    <t>Porez na dohodak fizičkih lica</t>
  </si>
  <si>
    <t>Porez na lična primanja zaposlenih kod pravnih lica</t>
  </si>
  <si>
    <t>Porez na lična primanja zaposlenih kod fizičkih lica</t>
  </si>
  <si>
    <t>Porez na ostala lična primanja</t>
  </si>
  <si>
    <t>Porez na prihode od samostalne djelatnosti po stvarnom dohotku</t>
  </si>
  <si>
    <t>Porez na prihode od samostalne djelatnosti u paušalnom iznosu</t>
  </si>
  <si>
    <t>Porez na prihode od imovine i imovinskih prava</t>
  </si>
  <si>
    <t>Porez na prihode od kapitala</t>
  </si>
  <si>
    <t>Porez na kapitalne dobitke</t>
  </si>
  <si>
    <t>Porez na dohodak po godišnjoj prijavi</t>
  </si>
  <si>
    <t>Porez na imovinu</t>
  </si>
  <si>
    <t>Porez na nepokretnost</t>
  </si>
  <si>
    <t>Porez na promet nepokretnosti</t>
  </si>
  <si>
    <t>Lokalni porezi</t>
  </si>
  <si>
    <t>Prirez porezu na dohodak fizičkih lica</t>
  </si>
  <si>
    <t>Takse</t>
  </si>
  <si>
    <t>Administrativne takse</t>
  </si>
  <si>
    <t>Lokalne administrativne takse</t>
  </si>
  <si>
    <t>Lokalne komunalne takse</t>
  </si>
  <si>
    <t>Naknade</t>
  </si>
  <si>
    <t>Naknade za korišćenje dobara od opšteg interesa</t>
  </si>
  <si>
    <t>Naknada za korišćenje voda</t>
  </si>
  <si>
    <t>Naknada za zaštitu voda od zagađivanja</t>
  </si>
  <si>
    <t>Naknade za korišćenje prirodnih dobara</t>
  </si>
  <si>
    <t>Naknada za korišćenje šuma</t>
  </si>
  <si>
    <t>Naknada za korišćenje rudnog bogatstva</t>
  </si>
  <si>
    <t>Naknada za korišćenje mineralnih sirovina</t>
  </si>
  <si>
    <t>Naknade za uređivanje i izgradnju građevinskog zemljišta</t>
  </si>
  <si>
    <t>Naknade za puteve</t>
  </si>
  <si>
    <t>Godišnja naknada pri registraciji drumskih motornih vozila</t>
  </si>
  <si>
    <t>Ostali prihodi</t>
  </si>
  <si>
    <t>Novčane kazne i oduzete imovinske koristi</t>
  </si>
  <si>
    <t>Prihodi koje organi ostvaruju vršenjem svoje djelatnosti</t>
  </si>
  <si>
    <t>Prihodi od djelatnosti organa</t>
  </si>
  <si>
    <t>Primici od prodaje imovine</t>
  </si>
  <si>
    <t>Primici od prodaje nefinansijske imovine</t>
  </si>
  <si>
    <t>Prodaja nepokretnosti</t>
  </si>
  <si>
    <t>Primici od otplate kredita</t>
  </si>
  <si>
    <t>Primici od otplate kredita datih drugim nivoima vlasti</t>
  </si>
  <si>
    <t>Primici od otplate kredita datih javnim preduzecima</t>
  </si>
  <si>
    <t>Donacije i transferi</t>
  </si>
  <si>
    <t>Donacije</t>
  </si>
  <si>
    <t>Tekuće donacije</t>
  </si>
  <si>
    <t>Kapitalne donacije</t>
  </si>
  <si>
    <t xml:space="preserve">Transferi </t>
  </si>
  <si>
    <t>Transferi od Egalizacionog fonda</t>
  </si>
  <si>
    <t>Pozajmice i krediti</t>
  </si>
  <si>
    <t>Pozajmice i krediti od domaćih izvora</t>
  </si>
  <si>
    <t>Pozajmice i krediti od domaćih finansijskih institucija</t>
  </si>
  <si>
    <t>UKUPNO</t>
  </si>
  <si>
    <t>IZDACI</t>
  </si>
  <si>
    <t>I OPERATIVNI BUDŽET</t>
  </si>
  <si>
    <t>5</t>
  </si>
  <si>
    <t>Tekući izdaci</t>
  </si>
  <si>
    <t>Doprinos na teret zaposlenog</t>
  </si>
  <si>
    <t>Doprinos na teret poslodavca</t>
  </si>
  <si>
    <t xml:space="preserve">Administrativni materijal </t>
  </si>
  <si>
    <t>Transferi za socijalnu zaštitu</t>
  </si>
  <si>
    <t>Otplata dugova</t>
  </si>
  <si>
    <t>Rezerve</t>
  </si>
  <si>
    <t>II KAPITALNI BUDŽET</t>
  </si>
  <si>
    <t>Ostali rashodi za materijal</t>
  </si>
  <si>
    <t xml:space="preserve">     I PRIMICI</t>
  </si>
  <si>
    <t>POSEBNI DIO</t>
  </si>
  <si>
    <t>OPERATIVNI BUDŽET</t>
  </si>
  <si>
    <t>IZDACI PO ORGANIZACIONOJ I EKONOMSKOJ KLASIFIKACIJI</t>
  </si>
  <si>
    <t>Organizaciona klasifikacija</t>
  </si>
  <si>
    <t>Index (%)</t>
  </si>
  <si>
    <t>UKUPNO:</t>
  </si>
  <si>
    <t>Ukupno izdaci:</t>
  </si>
  <si>
    <t>Ukupno kapitalni budžet:</t>
  </si>
  <si>
    <t>Ukupno operativni budžet:</t>
  </si>
  <si>
    <t>Transferi od Zavoda za zapošljavanje</t>
  </si>
  <si>
    <t>Ostale naknade za puteve</t>
  </si>
  <si>
    <t>Komunalna naknada</t>
  </si>
  <si>
    <t>Primici od otplate kredita i sredstva prenesena iz prethodne godine</t>
  </si>
  <si>
    <t>Transferi za jednokratne socijalne pomoći - komisija</t>
  </si>
  <si>
    <t xml:space="preserve">Ostalo </t>
  </si>
  <si>
    <t>Podrška ženskom preduzetništvu</t>
  </si>
  <si>
    <t>Izrada programa privremenih objekata</t>
  </si>
  <si>
    <t>Nabavka službenih automobila</t>
  </si>
  <si>
    <t>Sanacija i adaptacija opštinskih prostorija</t>
  </si>
  <si>
    <t>Ostali kapitalni izdaci - zajednički poslovi</t>
  </si>
  <si>
    <t>JU Centar za kulturu</t>
  </si>
  <si>
    <t>Služba glavnog gradskog arhitekte</t>
  </si>
  <si>
    <t>Uređenje biznis zone</t>
  </si>
  <si>
    <t>Natkrivanje tribina gradskog stadiona</t>
  </si>
  <si>
    <t>Fasade u užem centru grada</t>
  </si>
  <si>
    <t>Ifad projekat</t>
  </si>
  <si>
    <t>44122</t>
  </si>
  <si>
    <t>Uređenje gradskih parkova i javnih površina</t>
  </si>
  <si>
    <t>Revizija planskih dokumenata</t>
  </si>
  <si>
    <t>JU Polimski muzej</t>
  </si>
  <si>
    <t>DOO Vodovod i kanalizacija</t>
  </si>
  <si>
    <t>Zakup termina u sportskim objektima</t>
  </si>
  <si>
    <t>Izgradnja zgrade za lica sa posebnim potrebama 27+</t>
  </si>
  <si>
    <t>Dobrovoljni davaoci krvi</t>
  </si>
  <si>
    <t>Subnor i Obnor</t>
  </si>
  <si>
    <t xml:space="preserve">Ostali transferi pojedincima </t>
  </si>
  <si>
    <t xml:space="preserve">Ostale naknade </t>
  </si>
  <si>
    <t>Prihodi od kapitala</t>
  </si>
  <si>
    <t>Prihodi od rente - zakup</t>
  </si>
  <si>
    <t>Naknada za izvađeni materijal iz vodotoka</t>
  </si>
  <si>
    <t>Naknada za uređivanje i izgradnju građevinskog  zemljišta, za pravna lica</t>
  </si>
  <si>
    <t>Novčane kazne izrečene u prekršajnom i drugom postupku koji se vodi pred drugim drž. organima</t>
  </si>
  <si>
    <t>Prodaja nepokretnosti u korist budžeta opština</t>
  </si>
  <si>
    <t>Sredstva prenesena iz prethodne godine</t>
  </si>
  <si>
    <t>Transferi od budžeta Crne Gore</t>
  </si>
  <si>
    <t>0,00</t>
  </si>
  <si>
    <t xml:space="preserve">Sekretarijat za privredu, razvoj i investicije </t>
  </si>
  <si>
    <t>Projekat - novorođena djeca</t>
  </si>
  <si>
    <t>Stipendije</t>
  </si>
  <si>
    <t>JU "Dnevni centar za djecu i omladinu sa smetnjama i teškoćama u razvoju</t>
  </si>
  <si>
    <t>Transferi za izgradnju hrama u Beranama, Islamskoj zajednici i ostalim vjerskim zajednicama</t>
  </si>
  <si>
    <t>JU "Dnevni centar za djecu i omladinu a smetnjama i teškoćama u razvoju</t>
  </si>
  <si>
    <t>Akcioni plan za socijalnu inkluziju Roma i Egipćana</t>
  </si>
  <si>
    <t>Podrška realnom sektoru za zaposlenje mladih</t>
  </si>
  <si>
    <t>Centar za informacioni sistem</t>
  </si>
  <si>
    <t>Sekretarijat za sport</t>
  </si>
  <si>
    <t>Izdaci za infrastrukturu opšteg značaja</t>
  </si>
  <si>
    <t>Pripremni radovi na izgradnji Postrojenja za prečišćavanje pitke vode</t>
  </si>
  <si>
    <t>Uređenje novog groblja</t>
  </si>
  <si>
    <t>Ruralna infrastruktura</t>
  </si>
  <si>
    <t>Sekretarijat za kulturu, omladinu i saradnju sa NVO</t>
  </si>
  <si>
    <t>Berane otvorena galerija</t>
  </si>
  <si>
    <t>Prihodi od kamata za neblagovremeno plaćanje obaveza</t>
  </si>
  <si>
    <t xml:space="preserve">Otpremnine </t>
  </si>
  <si>
    <t>Naknada skupštinskim poslanicima (odbornicima)</t>
  </si>
  <si>
    <t xml:space="preserve">Komisija za djecu sa posebnim potrebama </t>
  </si>
  <si>
    <t>Kancelarijski materijal i sitan inventar</t>
  </si>
  <si>
    <t>Sredstva za higijenu</t>
  </si>
  <si>
    <t>Radna odjeća</t>
  </si>
  <si>
    <t>Publikacije, časopisi i glasila</t>
  </si>
  <si>
    <t>Advokatske, notarske i pravne usluge</t>
  </si>
  <si>
    <t>Projekat URBACT- Ecconecting</t>
  </si>
  <si>
    <t>Projekat ILEP-IPA</t>
  </si>
  <si>
    <t>Projekti, planovi i revizije projekata</t>
  </si>
  <si>
    <t>Usluge stručnog usavršavanja</t>
  </si>
  <si>
    <t>Medijske usluge, promotivne aktivnosti i usluge štampanja</t>
  </si>
  <si>
    <t>41491</t>
  </si>
  <si>
    <t>41493</t>
  </si>
  <si>
    <t>41494</t>
  </si>
  <si>
    <t>41499</t>
  </si>
  <si>
    <t>Usluge dezinfekcije, dezinsekcije i deratizacije</t>
  </si>
  <si>
    <t>Lokalni akcioni planovi i elektronski registar zgrada</t>
  </si>
  <si>
    <t>Usluge revizije</t>
  </si>
  <si>
    <t>Dan Opštine "21. jul"</t>
  </si>
  <si>
    <t>Troškovi lokalnih izbora</t>
  </si>
  <si>
    <t>Kolski most - pripremne aktivnosti</t>
  </si>
  <si>
    <t>Stara hala sportova</t>
  </si>
  <si>
    <t>Gradska garaža</t>
  </si>
  <si>
    <t>Akcioni plan za sprovođenje Strategije za smanjenje rizika od katastrofa</t>
  </si>
  <si>
    <t>Kancelarijska oprema</t>
  </si>
  <si>
    <t>Kompjuterska oprema</t>
  </si>
  <si>
    <t>Muzički hepening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</si>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</sst>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0"/>
      <color indexed="8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b/>
      <sz val="14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Arial"/>
      <family val="2"/>
    </font>
    <font>
      <b/>
      <sz val="16"/>
      <name val="Cambria"/>
      <family val="1"/>
      <scheme val="major"/>
    </font>
    <font>
      <b/>
      <sz val="12"/>
      <name val="Cambria"/>
      <family val="1"/>
      <scheme val="major"/>
    </font>
    <font>
      <sz val="10"/>
      <color indexed="8"/>
      <name val="ARIAL"/>
      <charset val="1"/>
    </font>
    <font>
      <b/>
      <sz val="9"/>
      <name val="Franklin Gothic Book"/>
      <family val="2"/>
    </font>
    <font>
      <sz val="8"/>
      <name val="Franklin Gothic Book"/>
      <family val="2"/>
    </font>
    <font>
      <sz val="10"/>
      <name val="ARIAL"/>
      <charset val="1"/>
    </font>
    <font>
      <sz val="18"/>
      <name val="Franklin Gothic Medium Cond"/>
      <family val="2"/>
    </font>
    <font>
      <b/>
      <sz val="9"/>
      <name val="Franklin Gothic Book"/>
      <charset val="1"/>
    </font>
    <font>
      <b/>
      <sz val="8"/>
      <name val="Franklin Gothic Book"/>
      <family val="2"/>
    </font>
    <font>
      <sz val="9"/>
      <name val="Franklin Gothic Book"/>
      <family val="2"/>
    </font>
    <font>
      <b/>
      <sz val="8"/>
      <name val="Franklin Gothic Medium"/>
      <family val="2"/>
    </font>
    <font>
      <b/>
      <sz val="10"/>
      <name val="Franklin Gothic Book"/>
      <family val="2"/>
    </font>
    <font>
      <sz val="9"/>
      <color indexed="8"/>
      <name val="Franklin Gothic Book"/>
      <family val="2"/>
    </font>
    <font>
      <b/>
      <sz val="9"/>
      <color indexed="8"/>
      <name val="Franklin Gothic Book"/>
      <family val="2"/>
    </font>
    <font>
      <sz val="8"/>
      <color indexed="8"/>
      <name val="Franklin Gothic Book"/>
      <family val="2"/>
    </font>
    <font>
      <b/>
      <sz val="8"/>
      <color indexed="8"/>
      <name val="Franklin Gothic Book"/>
      <family val="2"/>
    </font>
    <font>
      <sz val="9"/>
      <color indexed="8"/>
      <name val="Franklin Gothic Boo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top"/>
    </xf>
    <xf numFmtId="164" fontId="11" fillId="0" borderId="0" applyFont="0" applyFill="0" applyBorder="0" applyAlignment="0" applyProtection="0"/>
  </cellStyleXfs>
  <cellXfs count="270">
    <xf numFmtId="0" fontId="0" fillId="0" borderId="0" xfId="0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4" fontId="5" fillId="0" borderId="0" xfId="0" applyNumberFormat="1" applyFont="1" applyAlignment="1"/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/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 wrapText="1"/>
    </xf>
    <xf numFmtId="4" fontId="5" fillId="0" borderId="5" xfId="0" applyNumberFormat="1" applyFont="1" applyBorder="1" applyAlignment="1"/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>
      <alignment vertical="top"/>
    </xf>
    <xf numFmtId="0" fontId="6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4" fontId="6" fillId="0" borderId="0" xfId="0" applyNumberFormat="1" applyFont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4" fontId="7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Alignment="1"/>
    <xf numFmtId="2" fontId="2" fillId="2" borderId="0" xfId="0" applyNumberFormat="1" applyFont="1" applyFill="1" applyAlignment="1">
      <alignment horizontal="right" vertical="center"/>
    </xf>
    <xf numFmtId="0" fontId="2" fillId="0" borderId="0" xfId="0" applyFont="1" applyAlignment="1"/>
    <xf numFmtId="0" fontId="5" fillId="0" borderId="0" xfId="0" applyFont="1" applyAlignment="1"/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left" vertical="center" indent="10"/>
    </xf>
    <xf numFmtId="0" fontId="8" fillId="0" borderId="0" xfId="0" applyFont="1" applyAlignment="1"/>
    <xf numFmtId="0" fontId="1" fillId="0" borderId="0" xfId="0" applyFont="1" applyAlignment="1"/>
    <xf numFmtId="0" fontId="9" fillId="0" borderId="10" xfId="0" applyFont="1" applyBorder="1">
      <alignment vertical="top"/>
    </xf>
    <xf numFmtId="0" fontId="10" fillId="0" borderId="1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  <xf numFmtId="0" fontId="5" fillId="2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" fontId="6" fillId="0" borderId="0" xfId="0" applyNumberFormat="1" applyFont="1" applyAlignment="1"/>
    <xf numFmtId="0" fontId="5" fillId="0" borderId="8" xfId="0" applyFont="1" applyBorder="1" applyAlignment="1">
      <alignment horizontal="right" vertical="top"/>
    </xf>
    <xf numFmtId="0" fontId="14" fillId="0" borderId="0" xfId="0" applyFont="1">
      <alignment vertical="top"/>
    </xf>
    <xf numFmtId="0" fontId="5" fillId="0" borderId="5" xfId="0" applyFont="1" applyBorder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vertical="top" wrapText="1" readingOrder="1"/>
    </xf>
    <xf numFmtId="0" fontId="14" fillId="4" borderId="0" xfId="0" applyFont="1" applyFill="1">
      <alignment vertical="top"/>
    </xf>
    <xf numFmtId="0" fontId="12" fillId="0" borderId="5" xfId="0" applyFont="1" applyBorder="1" applyAlignment="1">
      <alignment horizontal="left" vertical="top"/>
    </xf>
    <xf numFmtId="0" fontId="14" fillId="0" borderId="5" xfId="0" applyFont="1" applyBorder="1">
      <alignment vertical="top"/>
    </xf>
    <xf numFmtId="4" fontId="14" fillId="0" borderId="0" xfId="0" applyNumberFormat="1" applyFont="1">
      <alignment vertical="top"/>
    </xf>
    <xf numFmtId="0" fontId="17" fillId="0" borderId="5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 wrapText="1"/>
    </xf>
    <xf numFmtId="4" fontId="12" fillId="0" borderId="5" xfId="0" applyNumberFormat="1" applyFont="1" applyBorder="1" applyAlignment="1">
      <alignment horizontal="right" vertical="top"/>
    </xf>
    <xf numFmtId="0" fontId="13" fillId="0" borderId="5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/>
    </xf>
    <xf numFmtId="0" fontId="17" fillId="0" borderId="17" xfId="0" applyFont="1" applyBorder="1" applyAlignment="1">
      <alignment horizontal="left" vertical="top" wrapText="1"/>
    </xf>
    <xf numFmtId="4" fontId="12" fillId="0" borderId="0" xfId="0" applyNumberFormat="1" applyFont="1" applyAlignment="1">
      <alignment horizontal="right" vertical="top"/>
    </xf>
    <xf numFmtId="0" fontId="13" fillId="0" borderId="17" xfId="0" applyFont="1" applyBorder="1" applyAlignment="1">
      <alignment horizontal="left" vertical="top" wrapText="1"/>
    </xf>
    <xf numFmtId="4" fontId="18" fillId="0" borderId="0" xfId="0" applyNumberFormat="1" applyFont="1" applyAlignment="1">
      <alignment horizontal="right" vertical="top"/>
    </xf>
    <xf numFmtId="0" fontId="13" fillId="0" borderId="5" xfId="0" applyFont="1" applyBorder="1" applyAlignment="1">
      <alignment horizontal="right"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left" vertical="top"/>
    </xf>
    <xf numFmtId="0" fontId="13" fillId="4" borderId="5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/>
    </xf>
    <xf numFmtId="0" fontId="14" fillId="3" borderId="5" xfId="0" applyFont="1" applyFill="1" applyBorder="1">
      <alignment vertical="top"/>
    </xf>
    <xf numFmtId="0" fontId="1" fillId="3" borderId="5" xfId="0" applyFont="1" applyFill="1" applyBorder="1">
      <alignment vertical="top"/>
    </xf>
    <xf numFmtId="4" fontId="12" fillId="3" borderId="5" xfId="0" applyNumberFormat="1" applyFont="1" applyFill="1" applyBorder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4" fontId="1" fillId="0" borderId="0" xfId="0" applyNumberFormat="1" applyFont="1">
      <alignment vertical="top"/>
    </xf>
    <xf numFmtId="164" fontId="6" fillId="3" borderId="3" xfId="1" applyFont="1" applyFill="1" applyBorder="1" applyAlignment="1">
      <alignment horizontal="right" vertical="center"/>
    </xf>
    <xf numFmtId="49" fontId="6" fillId="3" borderId="6" xfId="1" applyNumberFormat="1" applyFont="1" applyFill="1" applyBorder="1" applyAlignment="1">
      <alignment horizontal="right" vertical="center"/>
    </xf>
    <xf numFmtId="164" fontId="6" fillId="3" borderId="6" xfId="1" applyFont="1" applyFill="1" applyBorder="1" applyAlignment="1">
      <alignment horizontal="right" vertical="center"/>
    </xf>
    <xf numFmtId="164" fontId="12" fillId="0" borderId="5" xfId="1" applyFont="1" applyBorder="1" applyAlignment="1">
      <alignment horizontal="right" vertical="top" wrapText="1"/>
    </xf>
    <xf numFmtId="0" fontId="13" fillId="0" borderId="17" xfId="0" applyFont="1" applyBorder="1" applyAlignment="1">
      <alignment vertical="top" wrapText="1"/>
    </xf>
    <xf numFmtId="0" fontId="13" fillId="0" borderId="17" xfId="0" applyFont="1" applyBorder="1">
      <alignment vertical="top"/>
    </xf>
    <xf numFmtId="0" fontId="2" fillId="0" borderId="5" xfId="0" applyFont="1" applyBorder="1">
      <alignment vertical="top"/>
    </xf>
    <xf numFmtId="0" fontId="5" fillId="0" borderId="5" xfId="0" applyFont="1" applyBorder="1" applyAlignment="1">
      <alignment horizontal="left" vertical="center" indent="10"/>
    </xf>
    <xf numFmtId="0" fontId="2" fillId="2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1" fillId="0" borderId="5" xfId="0" applyNumberFormat="1" applyFont="1" applyBorder="1" applyAlignment="1">
      <alignment horizontal="right" vertical="top"/>
    </xf>
    <xf numFmtId="4" fontId="22" fillId="0" borderId="5" xfId="0" applyNumberFormat="1" applyFont="1" applyBorder="1" applyAlignment="1">
      <alignment horizontal="right" vertical="top"/>
    </xf>
    <xf numFmtId="0" fontId="23" fillId="0" borderId="17" xfId="0" applyFont="1" applyBorder="1">
      <alignment vertical="top"/>
    </xf>
    <xf numFmtId="0" fontId="6" fillId="0" borderId="5" xfId="0" applyFont="1" applyBorder="1" applyAlignment="1">
      <alignment horizontal="left" vertical="top"/>
    </xf>
    <xf numFmtId="0" fontId="23" fillId="0" borderId="5" xfId="0" applyFont="1" applyBorder="1">
      <alignment vertical="top"/>
    </xf>
    <xf numFmtId="0" fontId="23" fillId="0" borderId="5" xfId="0" applyFont="1" applyBorder="1" applyAlignment="1">
      <alignment horizontal="center" vertical="top"/>
    </xf>
    <xf numFmtId="0" fontId="24" fillId="0" borderId="5" xfId="0" applyFont="1" applyBorder="1">
      <alignment vertical="top"/>
    </xf>
    <xf numFmtId="4" fontId="25" fillId="0" borderId="5" xfId="0" applyNumberFormat="1" applyFont="1" applyBorder="1" applyAlignment="1">
      <alignment horizontal="right" vertical="top"/>
    </xf>
    <xf numFmtId="0" fontId="17" fillId="0" borderId="17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164" fontId="12" fillId="3" borderId="5" xfId="1" applyFont="1" applyFill="1" applyBorder="1" applyAlignment="1">
      <alignment horizontal="right" vertical="center" wrapText="1"/>
    </xf>
    <xf numFmtId="164" fontId="5" fillId="0" borderId="0" xfId="1" applyFont="1" applyFill="1" applyAlignment="1">
      <alignment horizontal="right" vertical="center"/>
    </xf>
    <xf numFmtId="164" fontId="6" fillId="0" borderId="6" xfId="1" applyFont="1" applyBorder="1" applyAlignment="1">
      <alignment horizontal="right" vertical="center"/>
    </xf>
    <xf numFmtId="164" fontId="1" fillId="0" borderId="14" xfId="1" applyFont="1" applyFill="1" applyBorder="1" applyAlignment="1">
      <alignment horizontal="right" vertical="center"/>
    </xf>
    <xf numFmtId="164" fontId="6" fillId="0" borderId="14" xfId="1" applyFont="1" applyFill="1" applyBorder="1" applyAlignment="1">
      <alignment horizontal="right" vertical="center"/>
    </xf>
    <xf numFmtId="164" fontId="7" fillId="0" borderId="6" xfId="1" applyFont="1" applyBorder="1" applyAlignment="1">
      <alignment horizontal="right" vertical="center" wrapText="1"/>
    </xf>
    <xf numFmtId="164" fontId="1" fillId="0" borderId="0" xfId="1" applyFont="1" applyFill="1" applyAlignment="1">
      <alignment horizontal="right" vertical="center"/>
    </xf>
    <xf numFmtId="164" fontId="5" fillId="0" borderId="6" xfId="1" applyFont="1" applyBorder="1" applyAlignment="1">
      <alignment horizontal="right" vertical="center"/>
    </xf>
    <xf numFmtId="164" fontId="8" fillId="0" borderId="0" xfId="1" applyFont="1" applyAlignment="1">
      <alignment horizontal="right" vertical="center"/>
    </xf>
    <xf numFmtId="164" fontId="1" fillId="0" borderId="0" xfId="1" applyFont="1" applyAlignment="1">
      <alignment horizontal="right" vertical="center"/>
    </xf>
    <xf numFmtId="164" fontId="15" fillId="0" borderId="0" xfId="1" applyFont="1" applyAlignment="1">
      <alignment horizontal="right" vertical="center" wrapText="1"/>
    </xf>
    <xf numFmtId="164" fontId="12" fillId="0" borderId="5" xfId="1" applyFont="1" applyBorder="1" applyAlignment="1">
      <alignment horizontal="right" vertical="center" wrapText="1"/>
    </xf>
    <xf numFmtId="164" fontId="18" fillId="0" borderId="5" xfId="1" applyFont="1" applyBorder="1" applyAlignment="1">
      <alignment horizontal="right" vertical="center" wrapText="1"/>
    </xf>
    <xf numFmtId="164" fontId="14" fillId="0" borderId="0" xfId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" fillId="0" borderId="0" xfId="0" applyFont="1">
      <alignment vertical="top"/>
    </xf>
    <xf numFmtId="0" fontId="1" fillId="0" borderId="5" xfId="0" applyFont="1" applyBorder="1">
      <alignment vertical="top"/>
    </xf>
    <xf numFmtId="4" fontId="22" fillId="0" borderId="5" xfId="0" applyNumberFormat="1" applyFont="1" applyBorder="1" applyAlignment="1">
      <alignment horizontal="right" vertical="center"/>
    </xf>
    <xf numFmtId="4" fontId="21" fillId="0" borderId="5" xfId="0" applyNumberFormat="1" applyFont="1" applyBorder="1" applyAlignment="1">
      <alignment horizontal="right" vertical="center"/>
    </xf>
    <xf numFmtId="4" fontId="6" fillId="2" borderId="5" xfId="0" applyNumberFormat="1" applyFont="1" applyFill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top"/>
    </xf>
    <xf numFmtId="49" fontId="5" fillId="0" borderId="6" xfId="1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/>
    </xf>
    <xf numFmtId="4" fontId="6" fillId="4" borderId="5" xfId="0" applyNumberFormat="1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vertical="center"/>
    </xf>
    <xf numFmtId="49" fontId="6" fillId="0" borderId="6" xfId="1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vertical="center" wrapText="1"/>
    </xf>
    <xf numFmtId="4" fontId="6" fillId="0" borderId="10" xfId="0" applyNumberFormat="1" applyFont="1" applyBorder="1" applyAlignment="1">
      <alignment vertical="center" wrapText="1"/>
    </xf>
    <xf numFmtId="164" fontId="6" fillId="0" borderId="11" xfId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top" wrapText="1"/>
    </xf>
    <xf numFmtId="164" fontId="6" fillId="0" borderId="6" xfId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164" fontId="5" fillId="0" borderId="6" xfId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2" fontId="6" fillId="0" borderId="6" xfId="1" applyNumberFormat="1" applyFont="1" applyBorder="1" applyAlignment="1">
      <alignment horizontal="right" vertical="center"/>
    </xf>
    <xf numFmtId="164" fontId="5" fillId="4" borderId="6" xfId="1" applyFont="1" applyFill="1" applyBorder="1" applyAlignment="1">
      <alignment horizontal="right" vertical="center" wrapText="1"/>
    </xf>
    <xf numFmtId="4" fontId="5" fillId="4" borderId="5" xfId="0" applyNumberFormat="1" applyFont="1" applyFill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 wrapText="1"/>
    </xf>
    <xf numFmtId="164" fontId="7" fillId="0" borderId="11" xfId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top"/>
    </xf>
    <xf numFmtId="4" fontId="7" fillId="0" borderId="5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/>
    <xf numFmtId="164" fontId="7" fillId="0" borderId="11" xfId="1" applyFont="1" applyBorder="1" applyAlignment="1">
      <alignment horizontal="right"/>
    </xf>
    <xf numFmtId="4" fontId="18" fillId="0" borderId="5" xfId="0" applyNumberFormat="1" applyFont="1" applyBorder="1" applyAlignment="1">
      <alignment horizontal="right" vertical="top"/>
    </xf>
    <xf numFmtId="0" fontId="12" fillId="3" borderId="5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readingOrder="1"/>
    </xf>
    <xf numFmtId="0" fontId="6" fillId="0" borderId="4" xfId="0" applyFont="1" applyBorder="1" applyAlignment="1">
      <alignment horizontal="left" vertical="center" indent="9"/>
    </xf>
    <xf numFmtId="0" fontId="6" fillId="0" borderId="5" xfId="0" applyFont="1" applyBorder="1" applyAlignment="1">
      <alignment horizontal="left" vertical="center" indent="9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 readingOrder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9"/>
    </xf>
    <xf numFmtId="0" fontId="6" fillId="0" borderId="5" xfId="0" applyFont="1" applyBorder="1" applyAlignment="1">
      <alignment horizontal="left" vertical="center" wrapText="1" indent="9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6"/>
    </xf>
    <xf numFmtId="0" fontId="6" fillId="0" borderId="5" xfId="0" applyFont="1" applyBorder="1" applyAlignment="1">
      <alignment horizontal="left" vertical="center" indent="6"/>
    </xf>
    <xf numFmtId="164" fontId="12" fillId="3" borderId="12" xfId="1" applyFont="1" applyFill="1" applyBorder="1" applyAlignment="1">
      <alignment horizontal="right" vertical="center" wrapText="1"/>
    </xf>
    <xf numFmtId="164" fontId="12" fillId="3" borderId="16" xfId="1" applyFont="1" applyFill="1" applyBorder="1" applyAlignment="1">
      <alignment horizontal="right" vertical="center" wrapText="1"/>
    </xf>
    <xf numFmtId="164" fontId="12" fillId="3" borderId="13" xfId="1" applyFont="1" applyFill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0"/>
    </xf>
    <xf numFmtId="0" fontId="5" fillId="0" borderId="5" xfId="0" applyFont="1" applyBorder="1" applyAlignment="1">
      <alignment horizontal="left" vertical="center" indent="10"/>
    </xf>
    <xf numFmtId="0" fontId="6" fillId="0" borderId="4" xfId="0" applyFont="1" applyBorder="1" applyAlignment="1">
      <alignment horizontal="left" vertical="center" wrapText="1" indent="5"/>
    </xf>
    <xf numFmtId="0" fontId="6" fillId="0" borderId="5" xfId="0" applyFont="1" applyBorder="1" applyAlignment="1">
      <alignment horizontal="left" vertical="center" wrapText="1" indent="5"/>
    </xf>
    <xf numFmtId="0" fontId="6" fillId="0" borderId="4" xfId="0" applyFont="1" applyBorder="1" applyAlignment="1">
      <alignment horizontal="left" vertical="center" wrapText="1" indent="8"/>
    </xf>
    <xf numFmtId="0" fontId="6" fillId="0" borderId="5" xfId="0" applyFont="1" applyBorder="1" applyAlignment="1">
      <alignment horizontal="left" vertical="center" wrapText="1" indent="8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12" fillId="0" borderId="12" xfId="1" applyFont="1" applyBorder="1" applyAlignment="1">
      <alignment horizontal="right" vertical="center" wrapText="1"/>
    </xf>
    <xf numFmtId="164" fontId="12" fillId="0" borderId="13" xfId="1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0" fontId="16" fillId="3" borderId="12" xfId="0" applyFont="1" applyFill="1" applyBorder="1" applyAlignment="1">
      <alignment horizontal="center" vertical="center" wrapText="1" readingOrder="1"/>
    </xf>
    <xf numFmtId="0" fontId="16" fillId="3" borderId="16" xfId="0" applyFont="1" applyFill="1" applyBorder="1" applyAlignment="1">
      <alignment horizontal="center" vertical="center" wrapText="1" readingOrder="1"/>
    </xf>
    <xf numFmtId="0" fontId="16" fillId="3" borderId="13" xfId="0" applyFont="1" applyFill="1" applyBorder="1" applyAlignment="1">
      <alignment horizontal="center" vertical="center" wrapText="1" readingOrder="1"/>
    </xf>
    <xf numFmtId="0" fontId="20" fillId="5" borderId="1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 readingOrder="1"/>
    </xf>
    <xf numFmtId="0" fontId="12" fillId="3" borderId="16" xfId="0" applyFont="1" applyFill="1" applyBorder="1" applyAlignment="1">
      <alignment horizontal="center" vertical="center" wrapText="1" readingOrder="1"/>
    </xf>
    <xf numFmtId="0" fontId="12" fillId="3" borderId="13" xfId="0" applyFont="1" applyFill="1" applyBorder="1" applyAlignment="1">
      <alignment horizontal="center" vertical="center" wrapText="1" readingOrder="1"/>
    </xf>
    <xf numFmtId="164" fontId="12" fillId="0" borderId="16" xfId="1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20" fillId="5" borderId="1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 readingOrder="1"/>
    </xf>
    <xf numFmtId="0" fontId="12" fillId="3" borderId="19" xfId="0" applyFont="1" applyFill="1" applyBorder="1" applyAlignment="1">
      <alignment horizontal="center" vertical="center" wrapText="1" readingOrder="1"/>
    </xf>
    <xf numFmtId="0" fontId="12" fillId="3" borderId="20" xfId="0" applyFont="1" applyFill="1" applyBorder="1" applyAlignment="1">
      <alignment horizontal="center" vertical="center" wrapText="1" readingOrder="1"/>
    </xf>
    <xf numFmtId="0" fontId="12" fillId="3" borderId="21" xfId="0" applyFont="1" applyFill="1" applyBorder="1" applyAlignment="1">
      <alignment horizontal="center" vertical="center" wrapText="1" readingOrder="1"/>
    </xf>
    <xf numFmtId="0" fontId="12" fillId="3" borderId="22" xfId="0" applyFont="1" applyFill="1" applyBorder="1" applyAlignment="1">
      <alignment horizontal="center" vertical="center" wrapText="1" readingOrder="1"/>
    </xf>
    <xf numFmtId="0" fontId="12" fillId="3" borderId="23" xfId="0" applyFont="1" applyFill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6" fillId="0" borderId="5" xfId="0" applyFont="1" applyBorder="1" applyAlignment="1">
      <alignment horizontal="left" vertical="center" indent="5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indent="8"/>
    </xf>
    <xf numFmtId="0" fontId="6" fillId="0" borderId="5" xfId="0" applyFont="1" applyBorder="1" applyAlignment="1">
      <alignment horizontal="left" vertical="center" indent="8"/>
    </xf>
    <xf numFmtId="0" fontId="6" fillId="0" borderId="4" xfId="0" applyFont="1" applyBorder="1" applyAlignment="1">
      <alignment horizontal="left" vertical="center" indent="10"/>
    </xf>
    <xf numFmtId="0" fontId="6" fillId="0" borderId="5" xfId="0" applyFont="1" applyBorder="1" applyAlignment="1">
      <alignment horizontal="left" vertical="center" indent="10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 indent="6"/>
    </xf>
    <xf numFmtId="0" fontId="6" fillId="0" borderId="5" xfId="0" applyFont="1" applyBorder="1" applyAlignment="1">
      <alignment horizontal="left" vertical="center" wrapText="1" indent="6"/>
    </xf>
    <xf numFmtId="0" fontId="6" fillId="0" borderId="24" xfId="0" applyFont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 indent="2"/>
    </xf>
    <xf numFmtId="0" fontId="6" fillId="2" borderId="8" xfId="0" applyFont="1" applyFill="1" applyBorder="1" applyAlignment="1">
      <alignment horizontal="left" vertical="center" wrapText="1" indent="2"/>
    </xf>
    <xf numFmtId="0" fontId="6" fillId="2" borderId="7" xfId="0" applyFont="1" applyFill="1" applyBorder="1" applyAlignment="1">
      <alignment horizontal="left" vertical="center" wrapText="1" indent="4"/>
    </xf>
    <xf numFmtId="0" fontId="6" fillId="2" borderId="8" xfId="0" applyFont="1" applyFill="1" applyBorder="1" applyAlignment="1">
      <alignment horizontal="left" vertical="center" wrapText="1" indent="4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 indent="8"/>
    </xf>
    <xf numFmtId="0" fontId="6" fillId="4" borderId="5" xfId="0" applyFont="1" applyFill="1" applyBorder="1" applyAlignment="1">
      <alignment horizontal="left" vertical="center" wrapText="1" indent="8"/>
    </xf>
    <xf numFmtId="0" fontId="5" fillId="2" borderId="4" xfId="0" applyFont="1" applyFill="1" applyBorder="1" applyAlignment="1">
      <alignment horizontal="left" vertical="center" indent="10"/>
    </xf>
    <xf numFmtId="0" fontId="5" fillId="2" borderId="5" xfId="0" applyFont="1" applyFill="1" applyBorder="1" applyAlignment="1">
      <alignment horizontal="left" vertical="center" indent="10"/>
    </xf>
    <xf numFmtId="0" fontId="5" fillId="0" borderId="7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7" fillId="0" borderId="4" xfId="0" applyFont="1" applyBorder="1" applyAlignment="1">
      <alignment horizontal="left" vertical="center" wrapText="1" indent="2"/>
    </xf>
    <xf numFmtId="0" fontId="7" fillId="0" borderId="5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4"/>
    </xf>
    <xf numFmtId="0" fontId="6" fillId="0" borderId="5" xfId="0" applyFont="1" applyBorder="1" applyAlignment="1">
      <alignment horizontal="left" vertical="center" wrapText="1" indent="4"/>
    </xf>
    <xf numFmtId="0" fontId="6" fillId="4" borderId="4" xfId="0" applyFont="1" applyFill="1" applyBorder="1" applyAlignment="1">
      <alignment horizontal="left" vertical="center" wrapText="1" indent="4"/>
    </xf>
    <xf numFmtId="0" fontId="6" fillId="4" borderId="5" xfId="0" applyFont="1" applyFill="1" applyBorder="1" applyAlignment="1">
      <alignment horizontal="left" vertical="center" wrapText="1" indent="4"/>
    </xf>
    <xf numFmtId="0" fontId="6" fillId="4" borderId="4" xfId="0" applyFont="1" applyFill="1" applyBorder="1" applyAlignment="1">
      <alignment horizontal="left" vertical="center" wrapText="1" indent="6"/>
    </xf>
    <xf numFmtId="0" fontId="6" fillId="4" borderId="5" xfId="0" applyFont="1" applyFill="1" applyBorder="1" applyAlignment="1">
      <alignment horizontal="left" vertical="center" wrapText="1" indent="6"/>
    </xf>
    <xf numFmtId="0" fontId="6" fillId="0" borderId="4" xfId="0" applyFont="1" applyBorder="1" applyAlignment="1">
      <alignment horizontal="left" vertical="center" wrapText="1" indent="7"/>
    </xf>
    <xf numFmtId="0" fontId="6" fillId="0" borderId="5" xfId="0" applyFont="1" applyBorder="1" applyAlignment="1">
      <alignment horizontal="left" vertical="center" wrapText="1" indent="7"/>
    </xf>
    <xf numFmtId="0" fontId="5" fillId="0" borderId="4" xfId="0" applyFont="1" applyBorder="1" applyAlignment="1">
      <alignment horizontal="left" vertical="center" wrapText="1" indent="11"/>
    </xf>
    <xf numFmtId="0" fontId="5" fillId="0" borderId="5" xfId="0" applyFont="1" applyBorder="1" applyAlignment="1">
      <alignment horizontal="left" vertical="center" wrapText="1" indent="11"/>
    </xf>
    <xf numFmtId="0" fontId="6" fillId="4" borderId="7" xfId="0" applyFont="1" applyFill="1" applyBorder="1" applyAlignment="1">
      <alignment horizontal="left" vertical="center" wrapText="1" indent="9"/>
    </xf>
    <xf numFmtId="0" fontId="6" fillId="4" borderId="8" xfId="0" applyFont="1" applyFill="1" applyBorder="1" applyAlignment="1">
      <alignment horizontal="left" vertical="center" wrapText="1" indent="9"/>
    </xf>
    <xf numFmtId="0" fontId="6" fillId="4" borderId="4" xfId="0" applyFont="1" applyFill="1" applyBorder="1" applyAlignment="1">
      <alignment horizontal="left" vertical="center" wrapText="1" indent="9"/>
    </xf>
    <xf numFmtId="0" fontId="6" fillId="4" borderId="5" xfId="0" applyFont="1" applyFill="1" applyBorder="1" applyAlignment="1">
      <alignment horizontal="left" vertical="center" wrapText="1" indent="9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9"/>
    </xf>
    <xf numFmtId="0" fontId="6" fillId="0" borderId="8" xfId="0" applyFont="1" applyBorder="1" applyAlignment="1">
      <alignment horizontal="left" vertical="center" wrapText="1" indent="9"/>
    </xf>
    <xf numFmtId="0" fontId="5" fillId="0" borderId="4" xfId="0" applyFont="1" applyBorder="1" applyAlignment="1">
      <alignment horizontal="left" vertical="center" wrapText="1" indent="10"/>
    </xf>
    <xf numFmtId="0" fontId="5" fillId="0" borderId="5" xfId="0" applyFont="1" applyBorder="1" applyAlignment="1">
      <alignment horizontal="left" vertical="center" wrapText="1" indent="10"/>
    </xf>
    <xf numFmtId="0" fontId="5" fillId="2" borderId="4" xfId="0" applyFont="1" applyFill="1" applyBorder="1" applyAlignment="1">
      <alignment horizontal="left" vertical="center" wrapText="1" indent="10"/>
    </xf>
    <xf numFmtId="0" fontId="5" fillId="2" borderId="5" xfId="0" applyFont="1" applyFill="1" applyBorder="1" applyAlignment="1">
      <alignment horizontal="left" vertical="center" wrapText="1" indent="1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12" fillId="0" borderId="16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Q840"/>
  <sheetViews>
    <sheetView showGridLines="0" tabSelected="1" zoomScaleNormal="100" workbookViewId="0">
      <selection activeCell="L786" sqref="L786"/>
    </sheetView>
  </sheetViews>
  <sheetFormatPr defaultColWidth="6.81640625" defaultRowHeight="12.75" customHeight="1" x14ac:dyDescent="0.25"/>
  <cols>
    <col min="1" max="1" width="8" style="52" customWidth="1"/>
    <col min="2" max="2" width="8.81640625" style="52" customWidth="1"/>
    <col min="3" max="3" width="16.453125" style="52" customWidth="1"/>
    <col min="4" max="4" width="42.1796875" style="52" customWidth="1"/>
    <col min="5" max="5" width="15.7265625" style="52" customWidth="1"/>
    <col min="6" max="6" width="15.453125" style="52" customWidth="1"/>
    <col min="7" max="7" width="9.7265625" style="118" customWidth="1"/>
    <col min="8" max="8" width="2.26953125" style="52" customWidth="1"/>
    <col min="9" max="11" width="6.81640625" style="52"/>
    <col min="12" max="12" width="10.1796875" style="52" bestFit="1" customWidth="1"/>
    <col min="13" max="13" width="14.54296875" style="52" customWidth="1"/>
    <col min="14" max="16384" width="6.81640625" style="52"/>
  </cols>
  <sheetData>
    <row r="1" spans="2:13" ht="24" customHeight="1" x14ac:dyDescent="0.35">
      <c r="B1" s="1"/>
      <c r="C1" s="1"/>
      <c r="D1" s="2" t="s">
        <v>227</v>
      </c>
      <c r="E1" s="3"/>
      <c r="F1" s="4"/>
      <c r="G1" s="106"/>
    </row>
    <row r="2" spans="2:13" ht="12.75" customHeight="1" x14ac:dyDescent="0.25">
      <c r="B2" s="1"/>
      <c r="C2" s="1"/>
      <c r="D2" s="3"/>
      <c r="E2" s="3"/>
      <c r="F2" s="4"/>
      <c r="G2" s="106"/>
    </row>
    <row r="3" spans="2:13" ht="20.25" customHeight="1" thickBot="1" x14ac:dyDescent="0.3">
      <c r="B3" s="225" t="s">
        <v>297</v>
      </c>
      <c r="C3" s="225"/>
      <c r="D3" s="225"/>
      <c r="E3" s="225"/>
      <c r="F3" s="4"/>
      <c r="G3" s="106"/>
    </row>
    <row r="4" spans="2:13" ht="12.75" customHeight="1" x14ac:dyDescent="0.25">
      <c r="B4" s="211" t="s">
        <v>228</v>
      </c>
      <c r="C4" s="212"/>
      <c r="D4" s="90" t="s">
        <v>0</v>
      </c>
      <c r="E4" s="90" t="s">
        <v>229</v>
      </c>
      <c r="F4" s="5" t="s">
        <v>230</v>
      </c>
      <c r="G4" s="81" t="s">
        <v>231</v>
      </c>
      <c r="L4" s="52" t="s">
        <v>390</v>
      </c>
    </row>
    <row r="5" spans="2:13" ht="12.75" customHeight="1" x14ac:dyDescent="0.25">
      <c r="B5" s="226">
        <v>1</v>
      </c>
      <c r="C5" s="227"/>
      <c r="D5" s="93">
        <v>2</v>
      </c>
      <c r="E5" s="93">
        <v>3</v>
      </c>
      <c r="F5" s="6">
        <v>4</v>
      </c>
      <c r="G5" s="82">
        <v>5</v>
      </c>
    </row>
    <row r="6" spans="2:13" ht="12.75" customHeight="1" x14ac:dyDescent="0.25">
      <c r="B6" s="228">
        <v>7</v>
      </c>
      <c r="C6" s="229"/>
      <c r="D6" s="7" t="s">
        <v>232</v>
      </c>
      <c r="E6" s="8"/>
      <c r="F6" s="9"/>
      <c r="G6" s="107"/>
    </row>
    <row r="7" spans="2:13" ht="12.75" customHeight="1" x14ac:dyDescent="0.25">
      <c r="B7" s="230">
        <v>71</v>
      </c>
      <c r="C7" s="231"/>
      <c r="D7" s="10" t="s">
        <v>233</v>
      </c>
      <c r="E7" s="124">
        <f>SUM(E8+E24+E29+E46)</f>
        <v>6264000</v>
      </c>
      <c r="F7" s="124">
        <f>SUM(F8+F24+F29+F46)</f>
        <v>6552956.79</v>
      </c>
      <c r="G7" s="107">
        <f t="shared" ref="G7:G73" si="0">F7/E7*100</f>
        <v>104.61297557471265</v>
      </c>
      <c r="M7" s="79"/>
    </row>
    <row r="8" spans="2:13" ht="12.75" customHeight="1" x14ac:dyDescent="0.25">
      <c r="B8" s="223">
        <v>711</v>
      </c>
      <c r="C8" s="224"/>
      <c r="D8" s="11" t="s">
        <v>234</v>
      </c>
      <c r="E8" s="124">
        <f>E9+E19+E22</f>
        <v>5182000</v>
      </c>
      <c r="F8" s="124">
        <f>F9+F19+F22</f>
        <v>5549982.6600000001</v>
      </c>
      <c r="G8" s="107">
        <f t="shared" si="0"/>
        <v>107.10117059050559</v>
      </c>
      <c r="M8" s="79"/>
    </row>
    <row r="9" spans="2:13" ht="15" customHeight="1" x14ac:dyDescent="0.25">
      <c r="B9" s="164">
        <v>7111</v>
      </c>
      <c r="C9" s="165"/>
      <c r="D9" s="11" t="s">
        <v>235</v>
      </c>
      <c r="E9" s="124">
        <f>SUM(E10:E18)</f>
        <v>4092000</v>
      </c>
      <c r="F9" s="124">
        <f>SUM(F10:F18)</f>
        <v>4400508.0199999996</v>
      </c>
      <c r="G9" s="107">
        <f t="shared" si="0"/>
        <v>107.53929667644182</v>
      </c>
    </row>
    <row r="10" spans="2:13" ht="13.5" customHeight="1" x14ac:dyDescent="0.25">
      <c r="B10" s="221">
        <v>71111</v>
      </c>
      <c r="C10" s="222"/>
      <c r="D10" s="13" t="s">
        <v>236</v>
      </c>
      <c r="E10" s="125">
        <v>3400000</v>
      </c>
      <c r="F10" s="125">
        <v>3806115.93</v>
      </c>
      <c r="G10" s="112">
        <f t="shared" si="0"/>
        <v>111.94458617647058</v>
      </c>
      <c r="M10" s="80"/>
    </row>
    <row r="11" spans="2:13" ht="12.75" customHeight="1" x14ac:dyDescent="0.25">
      <c r="B11" s="221">
        <v>71112</v>
      </c>
      <c r="C11" s="222"/>
      <c r="D11" s="13" t="s">
        <v>237</v>
      </c>
      <c r="E11" s="125">
        <v>1000</v>
      </c>
      <c r="F11" s="125">
        <v>0</v>
      </c>
      <c r="G11" s="126" t="s">
        <v>343</v>
      </c>
    </row>
    <row r="12" spans="2:13" ht="12.75" customHeight="1" x14ac:dyDescent="0.25">
      <c r="B12" s="221">
        <v>71113</v>
      </c>
      <c r="C12" s="222"/>
      <c r="D12" s="13" t="s">
        <v>238</v>
      </c>
      <c r="E12" s="125">
        <v>320000</v>
      </c>
      <c r="F12" s="125">
        <v>235266.41</v>
      </c>
      <c r="G12" s="112">
        <f t="shared" si="0"/>
        <v>73.520753124999999</v>
      </c>
    </row>
    <row r="13" spans="2:13" ht="25.5" customHeight="1" x14ac:dyDescent="0.25">
      <c r="B13" s="221">
        <v>71114</v>
      </c>
      <c r="C13" s="222"/>
      <c r="D13" s="13" t="s">
        <v>239</v>
      </c>
      <c r="E13" s="125">
        <v>10000</v>
      </c>
      <c r="F13" s="125">
        <v>5160.59</v>
      </c>
      <c r="G13" s="112">
        <f t="shared" si="0"/>
        <v>51.605900000000005</v>
      </c>
    </row>
    <row r="14" spans="2:13" ht="25.5" customHeight="1" x14ac:dyDescent="0.25">
      <c r="B14" s="221">
        <v>71115</v>
      </c>
      <c r="C14" s="222"/>
      <c r="D14" s="13" t="s">
        <v>240</v>
      </c>
      <c r="E14" s="125">
        <v>10000</v>
      </c>
      <c r="F14" s="125">
        <v>3025.93</v>
      </c>
      <c r="G14" s="112">
        <f t="shared" si="0"/>
        <v>30.2593</v>
      </c>
    </row>
    <row r="15" spans="2:13" ht="12.75" customHeight="1" x14ac:dyDescent="0.25">
      <c r="B15" s="221">
        <v>71116</v>
      </c>
      <c r="C15" s="222"/>
      <c r="D15" s="13" t="s">
        <v>241</v>
      </c>
      <c r="E15" s="125">
        <v>130000</v>
      </c>
      <c r="F15" s="125">
        <v>166966.01999999999</v>
      </c>
      <c r="G15" s="112">
        <f t="shared" si="0"/>
        <v>128.43539999999999</v>
      </c>
    </row>
    <row r="16" spans="2:13" ht="12.75" customHeight="1" x14ac:dyDescent="0.25">
      <c r="B16" s="221">
        <v>71117</v>
      </c>
      <c r="C16" s="222"/>
      <c r="D16" s="13" t="s">
        <v>242</v>
      </c>
      <c r="E16" s="125">
        <v>130000</v>
      </c>
      <c r="F16" s="125">
        <v>101270.58</v>
      </c>
      <c r="G16" s="112">
        <f t="shared" si="0"/>
        <v>77.900446153846161</v>
      </c>
    </row>
    <row r="17" spans="2:7" ht="12.75" customHeight="1" x14ac:dyDescent="0.25">
      <c r="B17" s="221">
        <v>71118</v>
      </c>
      <c r="C17" s="222"/>
      <c r="D17" s="13" t="s">
        <v>243</v>
      </c>
      <c r="E17" s="125">
        <v>1000</v>
      </c>
      <c r="F17" s="125">
        <v>874.5</v>
      </c>
      <c r="G17" s="112">
        <f t="shared" si="0"/>
        <v>87.45</v>
      </c>
    </row>
    <row r="18" spans="2:7" ht="12.75" customHeight="1" x14ac:dyDescent="0.25">
      <c r="B18" s="221">
        <v>71119</v>
      </c>
      <c r="C18" s="222"/>
      <c r="D18" s="13" t="s">
        <v>244</v>
      </c>
      <c r="E18" s="125">
        <v>90000</v>
      </c>
      <c r="F18" s="125">
        <v>81828.06</v>
      </c>
      <c r="G18" s="112">
        <f t="shared" si="0"/>
        <v>90.920066666666671</v>
      </c>
    </row>
    <row r="19" spans="2:7" ht="12.75" customHeight="1" x14ac:dyDescent="0.25">
      <c r="B19" s="164">
        <v>7113</v>
      </c>
      <c r="C19" s="165"/>
      <c r="D19" s="14" t="s">
        <v>245</v>
      </c>
      <c r="E19" s="127">
        <f>SUM(E20:E21)</f>
        <v>770000</v>
      </c>
      <c r="F19" s="127">
        <f>SUM(F20:F21)</f>
        <v>761148.12</v>
      </c>
      <c r="G19" s="107">
        <f t="shared" si="0"/>
        <v>98.850405194805191</v>
      </c>
    </row>
    <row r="20" spans="2:7" ht="12.75" customHeight="1" x14ac:dyDescent="0.25">
      <c r="B20" s="221">
        <v>71131</v>
      </c>
      <c r="C20" s="222"/>
      <c r="D20" s="13" t="s">
        <v>246</v>
      </c>
      <c r="E20" s="125">
        <v>650000</v>
      </c>
      <c r="F20" s="125">
        <v>683630.46</v>
      </c>
      <c r="G20" s="112">
        <f t="shared" si="0"/>
        <v>105.17391692307692</v>
      </c>
    </row>
    <row r="21" spans="2:7" ht="12.75" customHeight="1" x14ac:dyDescent="0.25">
      <c r="B21" s="221">
        <v>71132</v>
      </c>
      <c r="C21" s="222"/>
      <c r="D21" s="13" t="s">
        <v>247</v>
      </c>
      <c r="E21" s="125">
        <v>120000</v>
      </c>
      <c r="F21" s="125">
        <v>77517.66</v>
      </c>
      <c r="G21" s="112">
        <f t="shared" si="0"/>
        <v>64.598050000000001</v>
      </c>
    </row>
    <row r="22" spans="2:7" ht="12.75" customHeight="1" x14ac:dyDescent="0.25">
      <c r="B22" s="164">
        <v>7117</v>
      </c>
      <c r="C22" s="165"/>
      <c r="D22" s="14" t="s">
        <v>248</v>
      </c>
      <c r="E22" s="128">
        <f>SUM(E23)</f>
        <v>320000</v>
      </c>
      <c r="F22" s="128">
        <f>SUM(F23)</f>
        <v>388326.52</v>
      </c>
      <c r="G22" s="107">
        <f t="shared" si="0"/>
        <v>121.35203750000001</v>
      </c>
    </row>
    <row r="23" spans="2:7" ht="12.75" customHeight="1" x14ac:dyDescent="0.25">
      <c r="B23" s="221">
        <v>71175</v>
      </c>
      <c r="C23" s="222"/>
      <c r="D23" s="13" t="s">
        <v>249</v>
      </c>
      <c r="E23" s="125">
        <v>320000</v>
      </c>
      <c r="F23" s="125">
        <v>388326.52</v>
      </c>
      <c r="G23" s="112">
        <f t="shared" si="0"/>
        <v>121.35203750000001</v>
      </c>
    </row>
    <row r="24" spans="2:7" ht="12.75" customHeight="1" x14ac:dyDescent="0.25">
      <c r="B24" s="223">
        <v>713</v>
      </c>
      <c r="C24" s="224"/>
      <c r="D24" s="15" t="s">
        <v>250</v>
      </c>
      <c r="E24" s="128">
        <f>E25+E27</f>
        <v>77000</v>
      </c>
      <c r="F24" s="128">
        <f>F25+F27</f>
        <v>74483.709999999992</v>
      </c>
      <c r="G24" s="107">
        <f t="shared" si="0"/>
        <v>96.7320909090909</v>
      </c>
    </row>
    <row r="25" spans="2:7" ht="12.75" customHeight="1" x14ac:dyDescent="0.25">
      <c r="B25" s="164">
        <v>7131</v>
      </c>
      <c r="C25" s="165"/>
      <c r="D25" s="15" t="s">
        <v>251</v>
      </c>
      <c r="E25" s="128">
        <f>SUM(E26)</f>
        <v>22000</v>
      </c>
      <c r="F25" s="128">
        <f>SUM(F26)</f>
        <v>20182.86</v>
      </c>
      <c r="G25" s="107">
        <f t="shared" si="0"/>
        <v>91.740272727272725</v>
      </c>
    </row>
    <row r="26" spans="2:7" ht="12.75" customHeight="1" x14ac:dyDescent="0.25">
      <c r="B26" s="221">
        <v>71312</v>
      </c>
      <c r="C26" s="222"/>
      <c r="D26" s="13" t="s">
        <v>252</v>
      </c>
      <c r="E26" s="125">
        <v>22000</v>
      </c>
      <c r="F26" s="79">
        <v>20182.86</v>
      </c>
      <c r="G26" s="112">
        <f t="shared" si="0"/>
        <v>91.740272727272725</v>
      </c>
    </row>
    <row r="27" spans="2:7" ht="12.75" customHeight="1" x14ac:dyDescent="0.25">
      <c r="B27" s="164">
        <v>7135</v>
      </c>
      <c r="C27" s="165"/>
      <c r="D27" s="14" t="s">
        <v>253</v>
      </c>
      <c r="E27" s="128">
        <f>SUM(E28)</f>
        <v>55000</v>
      </c>
      <c r="F27" s="128">
        <f>SUM(F28)</f>
        <v>54300.85</v>
      </c>
      <c r="G27" s="107">
        <f t="shared" si="0"/>
        <v>98.728818181818184</v>
      </c>
    </row>
    <row r="28" spans="2:7" ht="12.75" customHeight="1" x14ac:dyDescent="0.25">
      <c r="B28" s="221">
        <v>71351</v>
      </c>
      <c r="C28" s="222"/>
      <c r="D28" s="13" t="s">
        <v>253</v>
      </c>
      <c r="E28" s="125">
        <v>55000</v>
      </c>
      <c r="F28" s="125">
        <v>54300.85</v>
      </c>
      <c r="G28" s="112">
        <f t="shared" si="0"/>
        <v>98.728818181818184</v>
      </c>
    </row>
    <row r="29" spans="2:7" ht="17.25" customHeight="1" x14ac:dyDescent="0.25">
      <c r="B29" s="223">
        <v>714</v>
      </c>
      <c r="C29" s="224"/>
      <c r="D29" s="15" t="s">
        <v>254</v>
      </c>
      <c r="E29" s="128">
        <f>E30+E34+E38+E40+E43</f>
        <v>781000</v>
      </c>
      <c r="F29" s="128">
        <f>F30+F34+F38+F40+F43</f>
        <v>743125.72</v>
      </c>
      <c r="G29" s="107">
        <f t="shared" si="0"/>
        <v>95.15054033290653</v>
      </c>
    </row>
    <row r="30" spans="2:7" ht="26.25" customHeight="1" x14ac:dyDescent="0.25">
      <c r="B30" s="164">
        <v>7141</v>
      </c>
      <c r="C30" s="165"/>
      <c r="D30" s="15" t="s">
        <v>255</v>
      </c>
      <c r="E30" s="128">
        <f>SUM(E31:E33)</f>
        <v>252000</v>
      </c>
      <c r="F30" s="128">
        <f>SUM(F31:F33)</f>
        <v>174807.45</v>
      </c>
      <c r="G30" s="107">
        <f t="shared" si="0"/>
        <v>69.36803571428571</v>
      </c>
    </row>
    <row r="31" spans="2:7" ht="12.75" customHeight="1" x14ac:dyDescent="0.25">
      <c r="B31" s="221">
        <v>71411</v>
      </c>
      <c r="C31" s="222"/>
      <c r="D31" s="13" t="s">
        <v>256</v>
      </c>
      <c r="E31" s="125">
        <v>200000</v>
      </c>
      <c r="F31" s="125">
        <v>137203.66</v>
      </c>
      <c r="G31" s="112">
        <f t="shared" si="0"/>
        <v>68.601829999999993</v>
      </c>
    </row>
    <row r="32" spans="2:7" ht="12.75" customHeight="1" x14ac:dyDescent="0.25">
      <c r="B32" s="221">
        <v>71412</v>
      </c>
      <c r="C32" s="222"/>
      <c r="D32" s="13" t="s">
        <v>337</v>
      </c>
      <c r="E32" s="125">
        <v>50000</v>
      </c>
      <c r="F32" s="125">
        <v>35713.79</v>
      </c>
      <c r="G32" s="112">
        <f t="shared" si="0"/>
        <v>71.427580000000006</v>
      </c>
    </row>
    <row r="33" spans="2:7" ht="12.75" customHeight="1" x14ac:dyDescent="0.25">
      <c r="B33" s="221">
        <v>71413</v>
      </c>
      <c r="C33" s="222"/>
      <c r="D33" s="13" t="s">
        <v>257</v>
      </c>
      <c r="E33" s="125">
        <v>2000</v>
      </c>
      <c r="F33" s="125">
        <v>1890</v>
      </c>
      <c r="G33" s="112">
        <f t="shared" si="0"/>
        <v>94.5</v>
      </c>
    </row>
    <row r="34" spans="2:7" ht="16.5" customHeight="1" x14ac:dyDescent="0.25">
      <c r="B34" s="164">
        <v>7142</v>
      </c>
      <c r="C34" s="165"/>
      <c r="D34" s="14" t="s">
        <v>258</v>
      </c>
      <c r="E34" s="128">
        <f>SUM(E35:E37)</f>
        <v>302000</v>
      </c>
      <c r="F34" s="128">
        <f>SUM(F35:F37)</f>
        <v>345197.25</v>
      </c>
      <c r="G34" s="107">
        <f t="shared" si="0"/>
        <v>114.30372516556291</v>
      </c>
    </row>
    <row r="35" spans="2:7" ht="12.75" customHeight="1" x14ac:dyDescent="0.25">
      <c r="B35" s="221">
        <v>71421</v>
      </c>
      <c r="C35" s="222"/>
      <c r="D35" s="13" t="s">
        <v>259</v>
      </c>
      <c r="E35" s="125">
        <v>300000</v>
      </c>
      <c r="F35" s="125">
        <v>345197.25</v>
      </c>
      <c r="G35" s="112">
        <f t="shared" si="0"/>
        <v>115.06575000000001</v>
      </c>
    </row>
    <row r="36" spans="2:7" ht="12.75" customHeight="1" x14ac:dyDescent="0.25">
      <c r="B36" s="221">
        <v>71423</v>
      </c>
      <c r="C36" s="222"/>
      <c r="D36" s="13" t="s">
        <v>260</v>
      </c>
      <c r="E36" s="125">
        <v>1000</v>
      </c>
      <c r="F36" s="125">
        <v>0</v>
      </c>
      <c r="G36" s="126" t="s">
        <v>343</v>
      </c>
    </row>
    <row r="37" spans="2:7" ht="12.75" customHeight="1" x14ac:dyDescent="0.25">
      <c r="B37" s="219">
        <v>71424</v>
      </c>
      <c r="C37" s="220"/>
      <c r="D37" s="13" t="s">
        <v>261</v>
      </c>
      <c r="E37" s="125">
        <v>1000</v>
      </c>
      <c r="F37" s="125">
        <v>0</v>
      </c>
      <c r="G37" s="126" t="s">
        <v>343</v>
      </c>
    </row>
    <row r="38" spans="2:7" ht="30" customHeight="1" x14ac:dyDescent="0.25">
      <c r="B38" s="155">
        <v>7146</v>
      </c>
      <c r="C38" s="156"/>
      <c r="D38" s="14" t="s">
        <v>262</v>
      </c>
      <c r="E38" s="128">
        <f>SUM(E39)</f>
        <v>70000</v>
      </c>
      <c r="F38" s="128">
        <f>SUM(F39)</f>
        <v>64694.17</v>
      </c>
      <c r="G38" s="107">
        <f t="shared" si="0"/>
        <v>92.420242857142853</v>
      </c>
    </row>
    <row r="39" spans="2:7" ht="25.5" customHeight="1" x14ac:dyDescent="0.25">
      <c r="B39" s="221">
        <v>71461</v>
      </c>
      <c r="C39" s="222"/>
      <c r="D39" s="13" t="s">
        <v>338</v>
      </c>
      <c r="E39" s="125">
        <v>70000</v>
      </c>
      <c r="F39" s="125">
        <v>64694.17</v>
      </c>
      <c r="G39" s="112">
        <f t="shared" si="0"/>
        <v>92.420242857142853</v>
      </c>
    </row>
    <row r="40" spans="2:7" ht="12.75" customHeight="1" x14ac:dyDescent="0.25">
      <c r="B40" s="164">
        <v>7148</v>
      </c>
      <c r="C40" s="165"/>
      <c r="D40" s="14" t="s">
        <v>263</v>
      </c>
      <c r="E40" s="128">
        <f>SUM(E41:E42)</f>
        <v>155000</v>
      </c>
      <c r="F40" s="128">
        <f>SUM(F41:F42)</f>
        <v>158402.85</v>
      </c>
      <c r="G40" s="107">
        <f t="shared" si="0"/>
        <v>102.1953870967742</v>
      </c>
    </row>
    <row r="41" spans="2:7" ht="25" x14ac:dyDescent="0.25">
      <c r="B41" s="233">
        <v>71484</v>
      </c>
      <c r="C41" s="234"/>
      <c r="D41" s="13" t="s">
        <v>264</v>
      </c>
      <c r="E41" s="125">
        <v>55000</v>
      </c>
      <c r="F41" s="125">
        <v>50318.02</v>
      </c>
      <c r="G41" s="112">
        <f t="shared" si="0"/>
        <v>91.487309090909079</v>
      </c>
    </row>
    <row r="42" spans="2:7" ht="15.75" customHeight="1" x14ac:dyDescent="0.25">
      <c r="B42" s="241">
        <v>71489</v>
      </c>
      <c r="C42" s="242"/>
      <c r="D42" s="53" t="s">
        <v>308</v>
      </c>
      <c r="E42" s="125">
        <v>100000</v>
      </c>
      <c r="F42" s="125">
        <v>108084.83</v>
      </c>
      <c r="G42" s="112">
        <f t="shared" si="0"/>
        <v>108.08483</v>
      </c>
    </row>
    <row r="43" spans="2:7" ht="12.75" customHeight="1" x14ac:dyDescent="0.25">
      <c r="B43" s="164">
        <v>7149</v>
      </c>
      <c r="C43" s="165"/>
      <c r="D43" s="14" t="s">
        <v>18</v>
      </c>
      <c r="E43" s="128">
        <f>SUM(E44:E45)</f>
        <v>2000</v>
      </c>
      <c r="F43" s="128">
        <f>SUM(F44:F45)</f>
        <v>24</v>
      </c>
      <c r="G43" s="107">
        <f t="shared" si="0"/>
        <v>1.2</v>
      </c>
    </row>
    <row r="44" spans="2:7" ht="12.75" customHeight="1" x14ac:dyDescent="0.25">
      <c r="B44" s="221">
        <v>71491</v>
      </c>
      <c r="C44" s="222"/>
      <c r="D44" s="13" t="s">
        <v>334</v>
      </c>
      <c r="E44" s="125">
        <v>1000</v>
      </c>
      <c r="F44" s="125">
        <v>24</v>
      </c>
      <c r="G44" s="112">
        <f t="shared" si="0"/>
        <v>2.4</v>
      </c>
    </row>
    <row r="45" spans="2:7" ht="12.75" customHeight="1" x14ac:dyDescent="0.25">
      <c r="B45" s="166">
        <v>71492</v>
      </c>
      <c r="C45" s="167"/>
      <c r="D45" s="13" t="s">
        <v>309</v>
      </c>
      <c r="E45" s="125">
        <v>1000</v>
      </c>
      <c r="F45" s="125">
        <v>0</v>
      </c>
      <c r="G45" s="126" t="s">
        <v>343</v>
      </c>
    </row>
    <row r="46" spans="2:7" ht="12.75" customHeight="1" x14ac:dyDescent="0.25">
      <c r="B46" s="223">
        <v>715</v>
      </c>
      <c r="C46" s="224"/>
      <c r="D46" s="15" t="s">
        <v>265</v>
      </c>
      <c r="E46" s="129">
        <f>E47+E49+E52+E54</f>
        <v>224000</v>
      </c>
      <c r="F46" s="129">
        <f>F47+F49+F52+F54</f>
        <v>185364.7</v>
      </c>
      <c r="G46" s="107">
        <f t="shared" si="0"/>
        <v>82.752098214285724</v>
      </c>
    </row>
    <row r="47" spans="2:7" ht="15.75" customHeight="1" x14ac:dyDescent="0.25">
      <c r="B47" s="164">
        <v>7151</v>
      </c>
      <c r="C47" s="165"/>
      <c r="D47" s="15" t="s">
        <v>335</v>
      </c>
      <c r="E47" s="129">
        <f>SUM(E48)</f>
        <v>100000</v>
      </c>
      <c r="F47" s="129">
        <f>SUM(F48)</f>
        <v>139965.6</v>
      </c>
      <c r="G47" s="107">
        <f t="shared" si="0"/>
        <v>139.96559999999999</v>
      </c>
    </row>
    <row r="48" spans="2:7" ht="12.75" customHeight="1" x14ac:dyDescent="0.25">
      <c r="B48" s="166">
        <v>71511</v>
      </c>
      <c r="C48" s="167"/>
      <c r="D48" s="46" t="s">
        <v>336</v>
      </c>
      <c r="E48" s="125">
        <v>100000</v>
      </c>
      <c r="F48" s="125">
        <v>139965.6</v>
      </c>
      <c r="G48" s="112">
        <f t="shared" si="0"/>
        <v>139.96559999999999</v>
      </c>
    </row>
    <row r="49" spans="2:7" ht="12.75" customHeight="1" x14ac:dyDescent="0.25">
      <c r="B49" s="164">
        <v>7152</v>
      </c>
      <c r="C49" s="165"/>
      <c r="D49" s="15" t="s">
        <v>266</v>
      </c>
      <c r="E49" s="129">
        <f>SUM(E50:E51)</f>
        <v>4000</v>
      </c>
      <c r="F49" s="129">
        <f>SUM(F50:F51)</f>
        <v>2790.67</v>
      </c>
      <c r="G49" s="107">
        <f t="shared" si="0"/>
        <v>69.766750000000002</v>
      </c>
    </row>
    <row r="50" spans="2:7" ht="26.25" customHeight="1" x14ac:dyDescent="0.25">
      <c r="B50" s="221">
        <v>71523</v>
      </c>
      <c r="C50" s="222"/>
      <c r="D50" s="13" t="s">
        <v>339</v>
      </c>
      <c r="E50" s="130">
        <v>3000</v>
      </c>
      <c r="F50" s="130">
        <v>2720.28</v>
      </c>
      <c r="G50" s="112">
        <f t="shared" si="0"/>
        <v>90.676000000000016</v>
      </c>
    </row>
    <row r="51" spans="2:7" ht="28.5" customHeight="1" x14ac:dyDescent="0.25">
      <c r="B51" s="221">
        <v>71525</v>
      </c>
      <c r="C51" s="222"/>
      <c r="D51" s="13" t="s">
        <v>360</v>
      </c>
      <c r="E51" s="130">
        <v>1000</v>
      </c>
      <c r="F51" s="130">
        <v>70.39</v>
      </c>
      <c r="G51" s="112">
        <f t="shared" si="0"/>
        <v>7.0389999999999997</v>
      </c>
    </row>
    <row r="52" spans="2:7" ht="27" customHeight="1" x14ac:dyDescent="0.25">
      <c r="B52" s="164">
        <v>7153</v>
      </c>
      <c r="C52" s="165"/>
      <c r="D52" s="14" t="s">
        <v>267</v>
      </c>
      <c r="E52" s="128">
        <f>SUM(E53)</f>
        <v>20000</v>
      </c>
      <c r="F52" s="128">
        <f>SUM(F53)</f>
        <v>22449.57</v>
      </c>
      <c r="G52" s="107">
        <f t="shared" si="0"/>
        <v>112.24785</v>
      </c>
    </row>
    <row r="53" spans="2:7" ht="12.75" customHeight="1" x14ac:dyDescent="0.25">
      <c r="B53" s="221">
        <v>71531</v>
      </c>
      <c r="C53" s="222"/>
      <c r="D53" s="13" t="s">
        <v>268</v>
      </c>
      <c r="E53" s="125">
        <v>20000</v>
      </c>
      <c r="F53" s="125">
        <v>22449.57</v>
      </c>
      <c r="G53" s="112">
        <f t="shared" si="0"/>
        <v>112.24785</v>
      </c>
    </row>
    <row r="54" spans="2:7" ht="12.75" customHeight="1" x14ac:dyDescent="0.25">
      <c r="B54" s="164">
        <v>7155</v>
      </c>
      <c r="C54" s="165"/>
      <c r="D54" s="14" t="s">
        <v>265</v>
      </c>
      <c r="E54" s="129">
        <f>SUM(E55)</f>
        <v>100000</v>
      </c>
      <c r="F54" s="129">
        <f>SUM(F55)</f>
        <v>20158.86</v>
      </c>
      <c r="G54" s="107">
        <f t="shared" si="0"/>
        <v>20.158860000000001</v>
      </c>
    </row>
    <row r="55" spans="2:7" ht="12.75" customHeight="1" x14ac:dyDescent="0.25">
      <c r="B55" s="221">
        <v>71551</v>
      </c>
      <c r="C55" s="222"/>
      <c r="D55" s="13" t="s">
        <v>265</v>
      </c>
      <c r="E55" s="125">
        <v>100000</v>
      </c>
      <c r="F55" s="125">
        <v>20158.86</v>
      </c>
      <c r="G55" s="112">
        <f t="shared" si="0"/>
        <v>20.158860000000001</v>
      </c>
    </row>
    <row r="56" spans="2:7" ht="12.75" customHeight="1" x14ac:dyDescent="0.25">
      <c r="B56" s="245">
        <v>72</v>
      </c>
      <c r="C56" s="246"/>
      <c r="D56" s="14" t="s">
        <v>269</v>
      </c>
      <c r="E56" s="128">
        <f t="shared" ref="E56:F58" si="1">SUM(E57)</f>
        <v>1020000</v>
      </c>
      <c r="F56" s="128">
        <f t="shared" si="1"/>
        <v>1010005.18</v>
      </c>
      <c r="G56" s="107">
        <f t="shared" si="0"/>
        <v>99.020115686274508</v>
      </c>
    </row>
    <row r="57" spans="2:7" ht="12.75" customHeight="1" x14ac:dyDescent="0.25">
      <c r="B57" s="223">
        <v>721</v>
      </c>
      <c r="C57" s="224"/>
      <c r="D57" s="15" t="s">
        <v>270</v>
      </c>
      <c r="E57" s="128">
        <f t="shared" si="1"/>
        <v>1020000</v>
      </c>
      <c r="F57" s="128">
        <f t="shared" si="1"/>
        <v>1010005.18</v>
      </c>
      <c r="G57" s="107">
        <f t="shared" si="0"/>
        <v>99.020115686274508</v>
      </c>
    </row>
    <row r="58" spans="2:7" ht="12.75" customHeight="1" x14ac:dyDescent="0.25">
      <c r="B58" s="164">
        <v>7211</v>
      </c>
      <c r="C58" s="165"/>
      <c r="D58" s="15" t="s">
        <v>271</v>
      </c>
      <c r="E58" s="128">
        <f t="shared" si="1"/>
        <v>1020000</v>
      </c>
      <c r="F58" s="128">
        <f t="shared" si="1"/>
        <v>1010005.18</v>
      </c>
      <c r="G58" s="107">
        <f t="shared" si="0"/>
        <v>99.020115686274508</v>
      </c>
    </row>
    <row r="59" spans="2:7" ht="12.75" customHeight="1" x14ac:dyDescent="0.25">
      <c r="B59" s="221">
        <v>72112</v>
      </c>
      <c r="C59" s="222"/>
      <c r="D59" s="13" t="s">
        <v>340</v>
      </c>
      <c r="E59" s="125">
        <v>1020000</v>
      </c>
      <c r="F59" s="125">
        <v>1010005.18</v>
      </c>
      <c r="G59" s="112">
        <f t="shared" si="0"/>
        <v>99.020115686274508</v>
      </c>
    </row>
    <row r="60" spans="2:7" ht="32.25" customHeight="1" x14ac:dyDescent="0.25">
      <c r="B60" s="247">
        <v>73</v>
      </c>
      <c r="C60" s="248"/>
      <c r="D60" s="17" t="s">
        <v>310</v>
      </c>
      <c r="E60" s="131">
        <f>E61+E64</f>
        <v>1190000</v>
      </c>
      <c r="F60" s="131">
        <f>F61+F64</f>
        <v>1162199.5899999999</v>
      </c>
      <c r="G60" s="107">
        <f t="shared" si="0"/>
        <v>97.663831092436965</v>
      </c>
    </row>
    <row r="61" spans="2:7" ht="12.75" customHeight="1" x14ac:dyDescent="0.25">
      <c r="B61" s="249">
        <v>731</v>
      </c>
      <c r="C61" s="250"/>
      <c r="D61" s="17" t="s">
        <v>272</v>
      </c>
      <c r="E61" s="131">
        <f>SUM(E62:E63)</f>
        <v>32000</v>
      </c>
      <c r="F61" s="131">
        <f>SUM(F62:F63)</f>
        <v>4813.92</v>
      </c>
      <c r="G61" s="107">
        <f t="shared" si="0"/>
        <v>15.043500000000002</v>
      </c>
    </row>
    <row r="62" spans="2:7" ht="12.75" customHeight="1" x14ac:dyDescent="0.25">
      <c r="B62" s="255">
        <v>7311</v>
      </c>
      <c r="C62" s="256"/>
      <c r="D62" s="18" t="s">
        <v>273</v>
      </c>
      <c r="E62" s="130">
        <v>2000</v>
      </c>
      <c r="F62" s="130">
        <v>0</v>
      </c>
      <c r="G62" s="126" t="s">
        <v>343</v>
      </c>
    </row>
    <row r="63" spans="2:7" ht="28.5" customHeight="1" x14ac:dyDescent="0.25">
      <c r="B63" s="257">
        <v>7312</v>
      </c>
      <c r="C63" s="258"/>
      <c r="D63" s="19" t="s">
        <v>274</v>
      </c>
      <c r="E63" s="130">
        <v>30000</v>
      </c>
      <c r="F63" s="130">
        <v>4813.92</v>
      </c>
      <c r="G63" s="112">
        <f t="shared" si="0"/>
        <v>16.046399999999998</v>
      </c>
    </row>
    <row r="64" spans="2:7" ht="12.75" customHeight="1" x14ac:dyDescent="0.25">
      <c r="B64" s="259">
        <v>732</v>
      </c>
      <c r="C64" s="260"/>
      <c r="D64" s="17" t="s">
        <v>341</v>
      </c>
      <c r="E64" s="132">
        <f>SUM(E65)</f>
        <v>1158000</v>
      </c>
      <c r="F64" s="132">
        <f>SUM(F65)</f>
        <v>1157385.67</v>
      </c>
      <c r="G64" s="107">
        <f t="shared" si="0"/>
        <v>99.94694905008636</v>
      </c>
    </row>
    <row r="65" spans="2:7" ht="12.75" customHeight="1" x14ac:dyDescent="0.25">
      <c r="B65" s="255">
        <v>7321</v>
      </c>
      <c r="C65" s="256"/>
      <c r="D65" s="18" t="s">
        <v>341</v>
      </c>
      <c r="E65" s="125">
        <v>1158000</v>
      </c>
      <c r="F65" s="125">
        <v>1157385.67</v>
      </c>
      <c r="G65" s="112">
        <f t="shared" si="0"/>
        <v>99.94694905008636</v>
      </c>
    </row>
    <row r="66" spans="2:7" ht="12.75" customHeight="1" x14ac:dyDescent="0.25">
      <c r="B66" s="247">
        <v>74</v>
      </c>
      <c r="C66" s="248"/>
      <c r="D66" s="17" t="s">
        <v>275</v>
      </c>
      <c r="E66" s="131">
        <f>E67+E70</f>
        <v>5825000</v>
      </c>
      <c r="F66" s="131">
        <f>F67+F70</f>
        <v>6015080.0099999998</v>
      </c>
      <c r="G66" s="107">
        <f t="shared" si="0"/>
        <v>103.26317613733904</v>
      </c>
    </row>
    <row r="67" spans="2:7" ht="12.75" customHeight="1" x14ac:dyDescent="0.25">
      <c r="B67" s="249">
        <v>741</v>
      </c>
      <c r="C67" s="250"/>
      <c r="D67" s="20" t="s">
        <v>276</v>
      </c>
      <c r="E67" s="131">
        <f>SUM(E68:E69)</f>
        <v>100000</v>
      </c>
      <c r="F67" s="131">
        <f>SUM(F68:F69)</f>
        <v>9511.7999999999993</v>
      </c>
      <c r="G67" s="107">
        <f t="shared" si="0"/>
        <v>9.5117999999999991</v>
      </c>
    </row>
    <row r="68" spans="2:7" ht="12.75" customHeight="1" x14ac:dyDescent="0.25">
      <c r="B68" s="257">
        <v>7411</v>
      </c>
      <c r="C68" s="258"/>
      <c r="D68" s="20" t="s">
        <v>277</v>
      </c>
      <c r="E68" s="125">
        <v>50000</v>
      </c>
      <c r="F68" s="125">
        <v>0</v>
      </c>
      <c r="G68" s="126" t="s">
        <v>343</v>
      </c>
    </row>
    <row r="69" spans="2:7" s="120" customFormat="1" ht="12.75" customHeight="1" x14ac:dyDescent="0.25">
      <c r="B69" s="257">
        <v>7412</v>
      </c>
      <c r="C69" s="258"/>
      <c r="D69" s="17" t="s">
        <v>278</v>
      </c>
      <c r="E69" s="125">
        <v>50000</v>
      </c>
      <c r="F69" s="125">
        <v>9511.7999999999993</v>
      </c>
      <c r="G69" s="112">
        <f t="shared" si="0"/>
        <v>19.023599999999998</v>
      </c>
    </row>
    <row r="70" spans="2:7" ht="12.75" customHeight="1" x14ac:dyDescent="0.25">
      <c r="B70" s="223">
        <v>742</v>
      </c>
      <c r="C70" s="224"/>
      <c r="D70" s="15" t="s">
        <v>279</v>
      </c>
      <c r="E70" s="128">
        <f>SUM(E71:E73)</f>
        <v>5725000</v>
      </c>
      <c r="F70" s="128">
        <f>SUM(F71:F73)</f>
        <v>6005568.21</v>
      </c>
      <c r="G70" s="107">
        <f t="shared" si="0"/>
        <v>104.90075475982532</v>
      </c>
    </row>
    <row r="71" spans="2:7" ht="12.75" customHeight="1" x14ac:dyDescent="0.25">
      <c r="B71" s="164">
        <v>7421</v>
      </c>
      <c r="C71" s="165"/>
      <c r="D71" s="14" t="s">
        <v>342</v>
      </c>
      <c r="E71" s="125">
        <v>1500000</v>
      </c>
      <c r="F71" s="125">
        <v>1603959.9</v>
      </c>
      <c r="G71" s="112">
        <f t="shared" si="0"/>
        <v>106.93066</v>
      </c>
    </row>
    <row r="72" spans="2:7" ht="12.75" customHeight="1" x14ac:dyDescent="0.25">
      <c r="B72" s="261">
        <v>7425</v>
      </c>
      <c r="C72" s="262"/>
      <c r="D72" s="14" t="s">
        <v>307</v>
      </c>
      <c r="E72" s="125">
        <v>45000</v>
      </c>
      <c r="F72" s="125">
        <v>33349.910000000003</v>
      </c>
      <c r="G72" s="112">
        <f t="shared" si="0"/>
        <v>74.110911111111122</v>
      </c>
    </row>
    <row r="73" spans="2:7" ht="12.75" customHeight="1" x14ac:dyDescent="0.25">
      <c r="B73" s="164">
        <v>7426</v>
      </c>
      <c r="C73" s="165"/>
      <c r="D73" s="14" t="s">
        <v>280</v>
      </c>
      <c r="E73" s="125">
        <v>4180000</v>
      </c>
      <c r="F73" s="125">
        <v>4368258.4000000004</v>
      </c>
      <c r="G73" s="112">
        <f t="shared" si="0"/>
        <v>104.50378947368422</v>
      </c>
    </row>
    <row r="74" spans="2:7" ht="12.75" customHeight="1" x14ac:dyDescent="0.25">
      <c r="B74" s="245">
        <v>75</v>
      </c>
      <c r="C74" s="246"/>
      <c r="D74" s="14" t="s">
        <v>281</v>
      </c>
      <c r="E74" s="128">
        <f t="shared" ref="E74:F76" si="2">SUM(E75)</f>
        <v>1000</v>
      </c>
      <c r="F74" s="128">
        <f t="shared" si="2"/>
        <v>0</v>
      </c>
      <c r="G74" s="133" t="s">
        <v>343</v>
      </c>
    </row>
    <row r="75" spans="2:7" ht="12.75" customHeight="1" x14ac:dyDescent="0.25">
      <c r="B75" s="251">
        <v>751</v>
      </c>
      <c r="C75" s="252"/>
      <c r="D75" s="14" t="s">
        <v>281</v>
      </c>
      <c r="E75" s="128">
        <f t="shared" si="2"/>
        <v>1000</v>
      </c>
      <c r="F75" s="128">
        <f t="shared" si="2"/>
        <v>0</v>
      </c>
      <c r="G75" s="133" t="s">
        <v>343</v>
      </c>
    </row>
    <row r="76" spans="2:7" ht="18.75" customHeight="1" x14ac:dyDescent="0.25">
      <c r="B76" s="164">
        <v>7511</v>
      </c>
      <c r="C76" s="165"/>
      <c r="D76" s="14" t="s">
        <v>282</v>
      </c>
      <c r="E76" s="134">
        <f t="shared" si="2"/>
        <v>1000</v>
      </c>
      <c r="F76" s="134">
        <f t="shared" si="2"/>
        <v>0</v>
      </c>
      <c r="G76" s="126" t="s">
        <v>343</v>
      </c>
    </row>
    <row r="77" spans="2:7" ht="25.5" customHeight="1" x14ac:dyDescent="0.25">
      <c r="B77" s="253">
        <v>75111</v>
      </c>
      <c r="C77" s="254"/>
      <c r="D77" s="13" t="s">
        <v>283</v>
      </c>
      <c r="E77" s="130">
        <v>1000</v>
      </c>
      <c r="F77" s="130">
        <v>0</v>
      </c>
      <c r="G77" s="126" t="s">
        <v>343</v>
      </c>
    </row>
    <row r="78" spans="2:7" ht="27" customHeight="1" thickBot="1" x14ac:dyDescent="0.3">
      <c r="B78" s="183"/>
      <c r="C78" s="184"/>
      <c r="D78" s="21" t="s">
        <v>284</v>
      </c>
      <c r="E78" s="135">
        <f>E8+E24+E29+E46+E57+E67+E70+E61+E64+E75</f>
        <v>14300000</v>
      </c>
      <c r="F78" s="135">
        <f>F8+F24+F29+F46+F57+F67+F70+F61+F64+F75</f>
        <v>14740241.57</v>
      </c>
      <c r="G78" s="136">
        <f t="shared" ref="G78" si="3">F78/E78*100</f>
        <v>103.07861237762236</v>
      </c>
    </row>
    <row r="79" spans="2:7" ht="12.75" customHeight="1" x14ac:dyDescent="0.3">
      <c r="B79" s="48"/>
      <c r="C79" s="22"/>
      <c r="D79" s="23"/>
      <c r="E79" s="24"/>
      <c r="F79" s="25"/>
      <c r="G79" s="108"/>
    </row>
    <row r="80" spans="2:7" ht="12.75" customHeight="1" x14ac:dyDescent="0.3">
      <c r="B80" s="48"/>
      <c r="C80" s="22"/>
      <c r="D80" s="23"/>
      <c r="E80" s="24"/>
      <c r="F80" s="25"/>
      <c r="G80" s="108"/>
    </row>
    <row r="81" spans="2:13" ht="12.75" customHeight="1" x14ac:dyDescent="0.25">
      <c r="B81" s="49"/>
      <c r="C81" s="26"/>
      <c r="D81" s="27"/>
      <c r="E81" s="28"/>
      <c r="F81" s="50"/>
      <c r="G81" s="109"/>
    </row>
    <row r="82" spans="2:13" ht="12.75" customHeight="1" x14ac:dyDescent="0.25">
      <c r="B82" s="235" t="s">
        <v>285</v>
      </c>
      <c r="C82" s="181"/>
      <c r="D82" s="181"/>
      <c r="E82" s="181"/>
      <c r="F82" s="181"/>
      <c r="G82" s="236"/>
    </row>
    <row r="83" spans="2:13" ht="12.75" customHeight="1" x14ac:dyDescent="0.25">
      <c r="B83" s="235" t="s">
        <v>286</v>
      </c>
      <c r="C83" s="181"/>
      <c r="D83" s="181"/>
      <c r="E83" s="181"/>
      <c r="F83" s="181"/>
      <c r="G83" s="236"/>
    </row>
    <row r="84" spans="2:13" ht="12.75" customHeight="1" thickBot="1" x14ac:dyDescent="0.3">
      <c r="B84" s="235"/>
      <c r="C84" s="181"/>
      <c r="D84" s="181"/>
      <c r="E84" s="181"/>
      <c r="F84" s="181"/>
      <c r="G84" s="236"/>
    </row>
    <row r="85" spans="2:13" ht="12.75" customHeight="1" x14ac:dyDescent="0.25">
      <c r="B85" s="211" t="s">
        <v>228</v>
      </c>
      <c r="C85" s="212"/>
      <c r="D85" s="90" t="s">
        <v>0</v>
      </c>
      <c r="E85" s="90" t="s">
        <v>229</v>
      </c>
      <c r="F85" s="5" t="s">
        <v>230</v>
      </c>
      <c r="G85" s="81" t="s">
        <v>231</v>
      </c>
    </row>
    <row r="86" spans="2:13" ht="12.75" customHeight="1" x14ac:dyDescent="0.25">
      <c r="B86" s="226">
        <v>1</v>
      </c>
      <c r="C86" s="227"/>
      <c r="D86" s="93">
        <v>2</v>
      </c>
      <c r="E86" s="93">
        <v>3</v>
      </c>
      <c r="F86" s="29">
        <v>4</v>
      </c>
      <c r="G86" s="83" t="s">
        <v>287</v>
      </c>
    </row>
    <row r="87" spans="2:13" ht="12.75" customHeight="1" x14ac:dyDescent="0.25">
      <c r="B87" s="243">
        <v>4</v>
      </c>
      <c r="C87" s="244"/>
      <c r="D87" s="30" t="s">
        <v>285</v>
      </c>
      <c r="E87" s="31"/>
      <c r="F87" s="31"/>
      <c r="G87" s="110"/>
      <c r="M87" s="59"/>
    </row>
    <row r="88" spans="2:13" ht="12.75" customHeight="1" x14ac:dyDescent="0.25">
      <c r="B88" s="177">
        <v>41</v>
      </c>
      <c r="C88" s="178"/>
      <c r="D88" s="14" t="s">
        <v>288</v>
      </c>
      <c r="E88" s="137">
        <f>E89+E95+E99+E105+E114+E116+E118+E120+E122</f>
        <v>4390500</v>
      </c>
      <c r="F88" s="137">
        <f>F89+F95+F99+F105+F114+F116+F118+F120+F122</f>
        <v>3851841.5599999996</v>
      </c>
      <c r="G88" s="138">
        <f t="shared" ref="G88:G157" si="4">F88/E88*100</f>
        <v>87.731273431272044</v>
      </c>
    </row>
    <row r="89" spans="2:13" ht="12.75" customHeight="1" x14ac:dyDescent="0.25">
      <c r="B89" s="179">
        <v>411</v>
      </c>
      <c r="C89" s="180"/>
      <c r="D89" s="14" t="s">
        <v>4</v>
      </c>
      <c r="E89" s="139">
        <f>SUM(E90:E94)</f>
        <v>2942050</v>
      </c>
      <c r="F89" s="139">
        <f>SUM(F90:F94)</f>
        <v>2763871.1099999994</v>
      </c>
      <c r="G89" s="138">
        <f t="shared" si="4"/>
        <v>93.943716456212485</v>
      </c>
    </row>
    <row r="90" spans="2:13" ht="12.75" customHeight="1" x14ac:dyDescent="0.25">
      <c r="B90" s="175">
        <v>4111</v>
      </c>
      <c r="C90" s="176"/>
      <c r="D90" s="13" t="s">
        <v>6</v>
      </c>
      <c r="E90" s="140">
        <f t="shared" ref="E90:F94" si="5">E209+E243+E277+E301+E354+E393+E419+E441+E468+E499+E521+E543+E583+E604+E636+E659+E696+E743+E768</f>
        <v>2786518</v>
      </c>
      <c r="F90" s="140">
        <f t="shared" si="5"/>
        <v>2737842.6499999994</v>
      </c>
      <c r="G90" s="141">
        <f t="shared" si="4"/>
        <v>98.25318372248087</v>
      </c>
    </row>
    <row r="91" spans="2:13" ht="12.75" customHeight="1" x14ac:dyDescent="0.25">
      <c r="B91" s="175">
        <v>4112</v>
      </c>
      <c r="C91" s="176"/>
      <c r="D91" s="13" t="s">
        <v>8</v>
      </c>
      <c r="E91" s="140">
        <f t="shared" si="5"/>
        <v>17994</v>
      </c>
      <c r="F91" s="140">
        <f t="shared" si="5"/>
        <v>883.66</v>
      </c>
      <c r="G91" s="141">
        <f t="shared" si="4"/>
        <v>4.910859175280649</v>
      </c>
    </row>
    <row r="92" spans="2:13" ht="12.75" customHeight="1" x14ac:dyDescent="0.25">
      <c r="B92" s="175">
        <v>4113</v>
      </c>
      <c r="C92" s="176"/>
      <c r="D92" s="13" t="s">
        <v>289</v>
      </c>
      <c r="E92" s="140">
        <f t="shared" si="5"/>
        <v>86480</v>
      </c>
      <c r="F92" s="140">
        <f t="shared" si="5"/>
        <v>5129.92</v>
      </c>
      <c r="G92" s="141">
        <f t="shared" si="4"/>
        <v>5.9319148936170212</v>
      </c>
    </row>
    <row r="93" spans="2:13" ht="12.75" customHeight="1" x14ac:dyDescent="0.25">
      <c r="B93" s="175">
        <v>4114</v>
      </c>
      <c r="C93" s="176"/>
      <c r="D93" s="13" t="s">
        <v>290</v>
      </c>
      <c r="E93" s="140">
        <f t="shared" si="5"/>
        <v>36728</v>
      </c>
      <c r="F93" s="140">
        <f t="shared" si="5"/>
        <v>6692.1200000000008</v>
      </c>
      <c r="G93" s="141">
        <f t="shared" si="4"/>
        <v>18.220758004791985</v>
      </c>
    </row>
    <row r="94" spans="2:13" ht="12.75" customHeight="1" x14ac:dyDescent="0.25">
      <c r="B94" s="175">
        <v>4115</v>
      </c>
      <c r="C94" s="176"/>
      <c r="D94" s="13" t="s">
        <v>14</v>
      </c>
      <c r="E94" s="140">
        <f t="shared" si="5"/>
        <v>14330</v>
      </c>
      <c r="F94" s="140">
        <f t="shared" si="5"/>
        <v>13322.759999999997</v>
      </c>
      <c r="G94" s="141">
        <f t="shared" si="4"/>
        <v>92.971109560362848</v>
      </c>
    </row>
    <row r="95" spans="2:13" ht="12.75" customHeight="1" x14ac:dyDescent="0.25">
      <c r="B95" s="179">
        <v>412</v>
      </c>
      <c r="C95" s="180"/>
      <c r="D95" s="14" t="s">
        <v>16</v>
      </c>
      <c r="E95" s="139">
        <f>SUM(E96:E98)</f>
        <v>119300</v>
      </c>
      <c r="F95" s="139">
        <f>SUM(F96:F98)</f>
        <v>102349.9</v>
      </c>
      <c r="G95" s="138">
        <f t="shared" si="4"/>
        <v>85.792036881810546</v>
      </c>
    </row>
    <row r="96" spans="2:13" ht="12.75" customHeight="1" x14ac:dyDescent="0.25">
      <c r="B96" s="263">
        <v>4125</v>
      </c>
      <c r="C96" s="264"/>
      <c r="D96" s="13" t="s">
        <v>361</v>
      </c>
      <c r="E96" s="142">
        <f>SUM(E283)</f>
        <v>10800</v>
      </c>
      <c r="F96" s="142">
        <f>SUM(F283)</f>
        <v>10710</v>
      </c>
      <c r="G96" s="141">
        <f t="shared" si="4"/>
        <v>99.166666666666671</v>
      </c>
    </row>
    <row r="97" spans="2:7" ht="12.75" customHeight="1" x14ac:dyDescent="0.25">
      <c r="B97" s="263">
        <v>4126</v>
      </c>
      <c r="C97" s="264"/>
      <c r="D97" s="13" t="s">
        <v>362</v>
      </c>
      <c r="E97" s="142">
        <f>SUM(E249)</f>
        <v>61000</v>
      </c>
      <c r="F97" s="142">
        <f>SUM(F249)</f>
        <v>60403</v>
      </c>
      <c r="G97" s="141">
        <f>F97/E97*100</f>
        <v>99.021311475409831</v>
      </c>
    </row>
    <row r="98" spans="2:7" ht="12.75" customHeight="1" x14ac:dyDescent="0.25">
      <c r="B98" s="265">
        <v>4127</v>
      </c>
      <c r="C98" s="266"/>
      <c r="D98" s="18" t="s">
        <v>18</v>
      </c>
      <c r="E98" s="140">
        <f>SUM(E215,E250,E284,E307,E360,E399,E425,E447,E474,E505,E527,E549,E589,E610,E642,E665,E702,E749,E774)</f>
        <v>47500</v>
      </c>
      <c r="F98" s="140">
        <f>SUM(F215,F250,F284,F307,F360,F399,F425,F447,F474,F505,F527,F549,F589,F610,F642,F665,F702,F749,F774)</f>
        <v>31236.9</v>
      </c>
      <c r="G98" s="141">
        <f t="shared" si="4"/>
        <v>65.761894736842109</v>
      </c>
    </row>
    <row r="99" spans="2:7" ht="12.75" customHeight="1" x14ac:dyDescent="0.25">
      <c r="B99" s="237">
        <v>413</v>
      </c>
      <c r="C99" s="238"/>
      <c r="D99" s="17" t="s">
        <v>20</v>
      </c>
      <c r="E99" s="8">
        <f>E100+E101+E102+E103+E104</f>
        <v>161500</v>
      </c>
      <c r="F99" s="8">
        <f>F100+F101+F102+F103+F104</f>
        <v>111607.31999999999</v>
      </c>
      <c r="G99" s="138">
        <f t="shared" si="4"/>
        <v>69.106699690402479</v>
      </c>
    </row>
    <row r="100" spans="2:7" ht="12.75" customHeight="1" x14ac:dyDescent="0.25">
      <c r="B100" s="239">
        <v>4131</v>
      </c>
      <c r="C100" s="240"/>
      <c r="D100" s="44" t="s">
        <v>291</v>
      </c>
      <c r="E100" s="140">
        <f>E551</f>
        <v>25000</v>
      </c>
      <c r="F100" s="140">
        <f>F551</f>
        <v>9263.76</v>
      </c>
      <c r="G100" s="141">
        <f t="shared" si="4"/>
        <v>37.055039999999998</v>
      </c>
    </row>
    <row r="101" spans="2:7" ht="12.75" customHeight="1" x14ac:dyDescent="0.25">
      <c r="B101" s="239">
        <v>4133</v>
      </c>
      <c r="C101" s="240"/>
      <c r="D101" s="44" t="s">
        <v>24</v>
      </c>
      <c r="E101" s="140">
        <f>E217+E253+E555</f>
        <v>16500</v>
      </c>
      <c r="F101" s="140">
        <f>F217+F253+F555</f>
        <v>14574.43</v>
      </c>
      <c r="G101" s="141">
        <f t="shared" si="4"/>
        <v>88.329878787878783</v>
      </c>
    </row>
    <row r="102" spans="2:7" ht="12.75" customHeight="1" x14ac:dyDescent="0.25">
      <c r="B102" s="239">
        <v>4134</v>
      </c>
      <c r="C102" s="240"/>
      <c r="D102" s="45" t="s">
        <v>121</v>
      </c>
      <c r="E102" s="140">
        <f>E476+E556</f>
        <v>49000</v>
      </c>
      <c r="F102" s="140">
        <f>F476+F556</f>
        <v>32819.33</v>
      </c>
      <c r="G102" s="141">
        <f t="shared" si="4"/>
        <v>66.97822448979592</v>
      </c>
    </row>
    <row r="103" spans="2:7" ht="12.75" customHeight="1" x14ac:dyDescent="0.25">
      <c r="B103" s="175">
        <v>4135</v>
      </c>
      <c r="C103" s="176"/>
      <c r="D103" s="13" t="s">
        <v>181</v>
      </c>
      <c r="E103" s="142">
        <f>E557</f>
        <v>70000</v>
      </c>
      <c r="F103" s="142">
        <f>F557</f>
        <v>54842.07</v>
      </c>
      <c r="G103" s="141">
        <f t="shared" si="4"/>
        <v>78.345814285714283</v>
      </c>
    </row>
    <row r="104" spans="2:7" ht="12.75" customHeight="1" x14ac:dyDescent="0.25">
      <c r="B104" s="38" t="s">
        <v>25</v>
      </c>
      <c r="C104" s="88"/>
      <c r="D104" s="13" t="s">
        <v>296</v>
      </c>
      <c r="E104" s="142">
        <f>SUM(E219)</f>
        <v>1000</v>
      </c>
      <c r="F104" s="142">
        <f>SUM(F219)</f>
        <v>107.73</v>
      </c>
      <c r="G104" s="130">
        <v>0</v>
      </c>
    </row>
    <row r="105" spans="2:7" ht="12.75" customHeight="1" x14ac:dyDescent="0.25">
      <c r="B105" s="215">
        <v>414</v>
      </c>
      <c r="C105" s="216"/>
      <c r="D105" s="14" t="s">
        <v>28</v>
      </c>
      <c r="E105" s="139">
        <f>SUM(E106:E113)</f>
        <v>549050</v>
      </c>
      <c r="F105" s="139">
        <f>SUM(F106:F113)</f>
        <v>347200.31000000006</v>
      </c>
      <c r="G105" s="138">
        <f t="shared" si="4"/>
        <v>63.236555869228681</v>
      </c>
    </row>
    <row r="106" spans="2:7" ht="12.75" customHeight="1" x14ac:dyDescent="0.25">
      <c r="B106" s="175">
        <v>4141</v>
      </c>
      <c r="C106" s="176"/>
      <c r="D106" s="13" t="s">
        <v>30</v>
      </c>
      <c r="E106" s="142">
        <f>E221+E256+E286+E704+E311+E362+E401+E427+E449+E478+E507+E529+E559+E591+E612+E644+E667+E751+E776</f>
        <v>36950</v>
      </c>
      <c r="F106" s="142">
        <f>F221+F256+F286+F704+F311+F362+F401+F427+F449+F478+F507+F529+F559+F591+F612+F644+F667+F751+F776</f>
        <v>25179.72</v>
      </c>
      <c r="G106" s="141">
        <f t="shared" si="4"/>
        <v>68.145385656292291</v>
      </c>
    </row>
    <row r="107" spans="2:7" ht="12.75" customHeight="1" x14ac:dyDescent="0.25">
      <c r="B107" s="175">
        <v>4142</v>
      </c>
      <c r="C107" s="176"/>
      <c r="D107" s="13" t="s">
        <v>32</v>
      </c>
      <c r="E107" s="142">
        <f>E222+E257</f>
        <v>10500</v>
      </c>
      <c r="F107" s="142">
        <f>F222+F257</f>
        <v>7846.79</v>
      </c>
      <c r="G107" s="141">
        <f t="shared" si="4"/>
        <v>74.731333333333339</v>
      </c>
    </row>
    <row r="108" spans="2:7" ht="12.75" customHeight="1" x14ac:dyDescent="0.25">
      <c r="B108" s="175">
        <v>4143</v>
      </c>
      <c r="C108" s="176"/>
      <c r="D108" s="13" t="s">
        <v>34</v>
      </c>
      <c r="E108" s="142">
        <f>E363</f>
        <v>22200</v>
      </c>
      <c r="F108" s="142">
        <f>F363</f>
        <v>22091.82</v>
      </c>
      <c r="G108" s="141">
        <f t="shared" si="4"/>
        <v>99.512702702702711</v>
      </c>
    </row>
    <row r="109" spans="2:7" ht="12.75" customHeight="1" x14ac:dyDescent="0.25">
      <c r="B109" s="175">
        <v>4144</v>
      </c>
      <c r="C109" s="176"/>
      <c r="D109" s="13" t="s">
        <v>136</v>
      </c>
      <c r="E109" s="12">
        <f>SUM(E364)</f>
        <v>10200</v>
      </c>
      <c r="F109" s="12">
        <f>SUM(F364)</f>
        <v>10111.77</v>
      </c>
      <c r="G109" s="141">
        <f t="shared" si="4"/>
        <v>99.135000000000005</v>
      </c>
    </row>
    <row r="110" spans="2:7" ht="12.75" customHeight="1" x14ac:dyDescent="0.25">
      <c r="B110" s="175">
        <v>4146</v>
      </c>
      <c r="C110" s="176"/>
      <c r="D110" s="13" t="s">
        <v>368</v>
      </c>
      <c r="E110" s="12">
        <f>SUM(E450)</f>
        <v>1000</v>
      </c>
      <c r="F110" s="12">
        <f>SUM(F450)</f>
        <v>793.92</v>
      </c>
      <c r="G110" s="141">
        <f t="shared" si="4"/>
        <v>79.391999999999996</v>
      </c>
    </row>
    <row r="111" spans="2:7" ht="12.75" customHeight="1" x14ac:dyDescent="0.25">
      <c r="B111" s="175">
        <v>4147</v>
      </c>
      <c r="C111" s="176"/>
      <c r="D111" s="13" t="s">
        <v>36</v>
      </c>
      <c r="E111" s="12">
        <f xml:space="preserve"> E223+E402+E530+E705</f>
        <v>381900</v>
      </c>
      <c r="F111" s="12">
        <f xml:space="preserve"> F223+F402+F530+F705</f>
        <v>234967.89</v>
      </c>
      <c r="G111" s="141">
        <f t="shared" si="4"/>
        <v>61.52602513747054</v>
      </c>
    </row>
    <row r="112" spans="2:7" ht="12.75" customHeight="1" x14ac:dyDescent="0.25">
      <c r="B112" s="175">
        <v>4148</v>
      </c>
      <c r="C112" s="176"/>
      <c r="D112" s="13" t="s">
        <v>372</v>
      </c>
      <c r="E112" s="12">
        <f>SUM(E258,E479)</f>
        <v>2000</v>
      </c>
      <c r="F112" s="12">
        <f>SUM(F258,F479)</f>
        <v>0</v>
      </c>
      <c r="G112" s="130">
        <v>0</v>
      </c>
    </row>
    <row r="113" spans="2:13" ht="12.75" customHeight="1" x14ac:dyDescent="0.25">
      <c r="B113" s="175">
        <v>4149</v>
      </c>
      <c r="C113" s="176"/>
      <c r="D113" s="13" t="s">
        <v>38</v>
      </c>
      <c r="E113" s="142">
        <f>E224+E259+E287+E711+E312+E365+E407+E428+E451+E560+E592+E613+E480+E508+E645+E668+E531+E752+E777</f>
        <v>84300</v>
      </c>
      <c r="F113" s="142">
        <f>F224+F259+F287+F711+F312+F365+F407+F428+F451+F560+F592+F613+F480+F508+F645+F668+F531+F752+F777</f>
        <v>46208.400000000009</v>
      </c>
      <c r="G113" s="141">
        <f t="shared" si="4"/>
        <v>54.814234875444846</v>
      </c>
    </row>
    <row r="114" spans="2:13" ht="12.75" customHeight="1" x14ac:dyDescent="0.25">
      <c r="B114" s="215">
        <v>415</v>
      </c>
      <c r="C114" s="216"/>
      <c r="D114" s="14" t="s">
        <v>40</v>
      </c>
      <c r="E114" s="139">
        <f>SUM(E115)</f>
        <v>53500</v>
      </c>
      <c r="F114" s="139">
        <f>SUM(F115)</f>
        <v>25039.52</v>
      </c>
      <c r="G114" s="138">
        <f t="shared" si="4"/>
        <v>46.802841121495327</v>
      </c>
    </row>
    <row r="115" spans="2:13" ht="12.75" customHeight="1" x14ac:dyDescent="0.25">
      <c r="B115" s="175">
        <v>4153</v>
      </c>
      <c r="C115" s="176"/>
      <c r="D115" s="13" t="s">
        <v>42</v>
      </c>
      <c r="E115" s="142">
        <f>E482+E562</f>
        <v>53500</v>
      </c>
      <c r="F115" s="142">
        <f>F482+F562</f>
        <v>25039.52</v>
      </c>
      <c r="G115" s="141">
        <f t="shared" si="4"/>
        <v>46.802841121495327</v>
      </c>
    </row>
    <row r="116" spans="2:13" ht="12.75" customHeight="1" x14ac:dyDescent="0.25">
      <c r="B116" s="215">
        <v>416</v>
      </c>
      <c r="C116" s="216"/>
      <c r="D116" s="14" t="s">
        <v>138</v>
      </c>
      <c r="E116" s="139">
        <f>SUM(E117)</f>
        <v>52200</v>
      </c>
      <c r="F116" s="139">
        <f>SUM(F117)</f>
        <v>52110.85</v>
      </c>
      <c r="G116" s="138">
        <f t="shared" si="4"/>
        <v>99.829214559386969</v>
      </c>
    </row>
    <row r="117" spans="2:13" ht="12.75" customHeight="1" x14ac:dyDescent="0.25">
      <c r="B117" s="175">
        <v>4161</v>
      </c>
      <c r="C117" s="176"/>
      <c r="D117" s="13" t="s">
        <v>140</v>
      </c>
      <c r="E117" s="142">
        <f>E369</f>
        <v>52200</v>
      </c>
      <c r="F117" s="142">
        <f>F369</f>
        <v>52110.85</v>
      </c>
      <c r="G117" s="141">
        <f t="shared" si="4"/>
        <v>99.829214559386969</v>
      </c>
    </row>
    <row r="118" spans="2:13" ht="12.75" customHeight="1" x14ac:dyDescent="0.25">
      <c r="B118" s="215">
        <v>417</v>
      </c>
      <c r="C118" s="216"/>
      <c r="D118" s="14" t="s">
        <v>165</v>
      </c>
      <c r="E118" s="139">
        <f>SUM(E119)</f>
        <v>2400</v>
      </c>
      <c r="F118" s="139">
        <f>SUM(F119)</f>
        <v>2146.64</v>
      </c>
      <c r="G118" s="138">
        <f t="shared" si="4"/>
        <v>89.443333333333328</v>
      </c>
    </row>
    <row r="119" spans="2:13" ht="12.75" customHeight="1" x14ac:dyDescent="0.25">
      <c r="B119" s="175">
        <v>4171</v>
      </c>
      <c r="C119" s="176"/>
      <c r="D119" s="13" t="s">
        <v>167</v>
      </c>
      <c r="E119" s="142">
        <f>E453</f>
        <v>2400</v>
      </c>
      <c r="F119" s="142">
        <f>F453</f>
        <v>2146.64</v>
      </c>
      <c r="G119" s="141">
        <f t="shared" si="4"/>
        <v>89.443333333333328</v>
      </c>
    </row>
    <row r="120" spans="2:13" ht="12.75" customHeight="1" x14ac:dyDescent="0.25">
      <c r="B120" s="215">
        <v>418</v>
      </c>
      <c r="C120" s="216"/>
      <c r="D120" s="14" t="s">
        <v>195</v>
      </c>
      <c r="E120" s="139">
        <f>SUM(E121)</f>
        <v>270000</v>
      </c>
      <c r="F120" s="139">
        <f>SUM(F121)</f>
        <v>240442.2</v>
      </c>
      <c r="G120" s="138">
        <f t="shared" si="4"/>
        <v>89.052666666666667</v>
      </c>
    </row>
    <row r="121" spans="2:13" ht="12.75" customHeight="1" x14ac:dyDescent="0.25">
      <c r="B121" s="175">
        <v>4181</v>
      </c>
      <c r="C121" s="176"/>
      <c r="D121" s="13" t="s">
        <v>197</v>
      </c>
      <c r="E121" s="142">
        <f>SUM(E647)</f>
        <v>270000</v>
      </c>
      <c r="F121" s="142">
        <f>SUM(F647)</f>
        <v>240442.2</v>
      </c>
      <c r="G121" s="141">
        <f t="shared" si="4"/>
        <v>89.052666666666667</v>
      </c>
    </row>
    <row r="122" spans="2:13" ht="12.75" customHeight="1" x14ac:dyDescent="0.25">
      <c r="B122" s="215">
        <v>419</v>
      </c>
      <c r="C122" s="216"/>
      <c r="D122" s="15" t="s">
        <v>89</v>
      </c>
      <c r="E122" s="139">
        <f>SUM(E123:E128)</f>
        <v>240500</v>
      </c>
      <c r="F122" s="139">
        <f>SUM(F123:F128)</f>
        <v>207073.71</v>
      </c>
      <c r="G122" s="138">
        <f t="shared" si="4"/>
        <v>86.101334719334716</v>
      </c>
    </row>
    <row r="123" spans="2:13" ht="12.75" customHeight="1" x14ac:dyDescent="0.25">
      <c r="B123" s="175">
        <v>4191</v>
      </c>
      <c r="C123" s="176"/>
      <c r="D123" s="46" t="s">
        <v>91</v>
      </c>
      <c r="E123" s="142">
        <f>E314</f>
        <v>126400</v>
      </c>
      <c r="F123" s="142">
        <f>F314</f>
        <v>126321.97</v>
      </c>
      <c r="G123" s="141">
        <f t="shared" si="4"/>
        <v>99.9382674050633</v>
      </c>
    </row>
    <row r="124" spans="2:13" ht="12.75" customHeight="1" x14ac:dyDescent="0.25">
      <c r="B124" s="175">
        <v>4192</v>
      </c>
      <c r="C124" s="176"/>
      <c r="D124" s="46" t="s">
        <v>169</v>
      </c>
      <c r="E124" s="142">
        <f>E455</f>
        <v>35500</v>
      </c>
      <c r="F124" s="142">
        <f>F455</f>
        <v>35458.39</v>
      </c>
      <c r="G124" s="141">
        <f t="shared" si="4"/>
        <v>99.882788732394374</v>
      </c>
    </row>
    <row r="125" spans="2:13" ht="12.75" customHeight="1" x14ac:dyDescent="0.25">
      <c r="B125" s="175">
        <v>4193</v>
      </c>
      <c r="C125" s="176"/>
      <c r="D125" s="13" t="s">
        <v>177</v>
      </c>
      <c r="E125" s="142">
        <f>SUM(E754)</f>
        <v>20000</v>
      </c>
      <c r="F125" s="142">
        <f>SUM(F754)</f>
        <v>10947.36</v>
      </c>
      <c r="G125" s="141">
        <f t="shared" si="4"/>
        <v>54.736800000000009</v>
      </c>
      <c r="M125" s="59"/>
    </row>
    <row r="126" spans="2:13" ht="12.75" customHeight="1" x14ac:dyDescent="0.25">
      <c r="B126" s="175">
        <v>4194</v>
      </c>
      <c r="C126" s="176"/>
      <c r="D126" s="13" t="s">
        <v>183</v>
      </c>
      <c r="E126" s="142">
        <f>E564</f>
        <v>12000</v>
      </c>
      <c r="F126" s="142">
        <f>F564</f>
        <v>4557.3999999999996</v>
      </c>
      <c r="G126" s="141">
        <f t="shared" si="4"/>
        <v>37.978333333333332</v>
      </c>
    </row>
    <row r="127" spans="2:13" ht="12.75" customHeight="1" x14ac:dyDescent="0.25">
      <c r="B127" s="175">
        <v>4196</v>
      </c>
      <c r="C127" s="176"/>
      <c r="D127" s="13" t="s">
        <v>123</v>
      </c>
      <c r="E127" s="142">
        <f>E565+E484</f>
        <v>7000</v>
      </c>
      <c r="F127" s="142">
        <f>F565+F484</f>
        <v>2997.42</v>
      </c>
      <c r="G127" s="141">
        <f t="shared" si="4"/>
        <v>42.820285714285717</v>
      </c>
    </row>
    <row r="128" spans="2:13" ht="12.75" customHeight="1" x14ac:dyDescent="0.25">
      <c r="B128" s="175">
        <v>4199</v>
      </c>
      <c r="C128" s="176"/>
      <c r="D128" s="44" t="s">
        <v>93</v>
      </c>
      <c r="E128" s="142">
        <f>E315+E371+E227+E485</f>
        <v>39600</v>
      </c>
      <c r="F128" s="142">
        <f>F315+F371+F227</f>
        <v>26791.170000000002</v>
      </c>
      <c r="G128" s="141">
        <f t="shared" si="4"/>
        <v>67.654469696969699</v>
      </c>
    </row>
    <row r="129" spans="2:7" ht="12.75" customHeight="1" x14ac:dyDescent="0.25">
      <c r="B129" s="208">
        <v>42</v>
      </c>
      <c r="C129" s="209"/>
      <c r="D129" s="17" t="s">
        <v>292</v>
      </c>
      <c r="E129" s="139">
        <f>SUM(E130)</f>
        <v>1000</v>
      </c>
      <c r="F129" s="139">
        <f>SUM(F130)</f>
        <v>0</v>
      </c>
      <c r="G129" s="143" t="s">
        <v>343</v>
      </c>
    </row>
    <row r="130" spans="2:7" ht="12.75" customHeight="1" x14ac:dyDescent="0.25">
      <c r="B130" s="267">
        <v>422</v>
      </c>
      <c r="C130" s="268"/>
      <c r="D130" s="47" t="s">
        <v>74</v>
      </c>
      <c r="E130" s="139">
        <f>SUM(E131)</f>
        <v>1000</v>
      </c>
      <c r="F130" s="139">
        <f>SUM(F131)</f>
        <v>0</v>
      </c>
      <c r="G130" s="143" t="s">
        <v>343</v>
      </c>
    </row>
    <row r="131" spans="2:7" ht="12.75" customHeight="1" x14ac:dyDescent="0.25">
      <c r="B131" s="217">
        <v>4222</v>
      </c>
      <c r="C131" s="218"/>
      <c r="D131" s="47" t="s">
        <v>76</v>
      </c>
      <c r="E131" s="139">
        <f>E289</f>
        <v>1000</v>
      </c>
      <c r="F131" s="139">
        <f>F289</f>
        <v>0</v>
      </c>
      <c r="G131" s="143" t="s">
        <v>343</v>
      </c>
    </row>
    <row r="132" spans="2:7" s="120" customFormat="1" ht="27" customHeight="1" x14ac:dyDescent="0.25">
      <c r="B132" s="208">
        <v>43</v>
      </c>
      <c r="C132" s="209"/>
      <c r="D132" s="14" t="s">
        <v>44</v>
      </c>
      <c r="E132" s="139">
        <f>E133+E151</f>
        <v>5301400</v>
      </c>
      <c r="F132" s="139">
        <f>F133+F151</f>
        <v>5109411.97</v>
      </c>
      <c r="G132" s="138">
        <f t="shared" si="4"/>
        <v>96.37854095144678</v>
      </c>
    </row>
    <row r="133" spans="2:7" ht="30.75" customHeight="1" x14ac:dyDescent="0.25">
      <c r="B133" s="179">
        <v>431</v>
      </c>
      <c r="C133" s="180"/>
      <c r="D133" s="14" t="s">
        <v>44</v>
      </c>
      <c r="E133" s="139">
        <f>SUM(E134:E141)</f>
        <v>2139200</v>
      </c>
      <c r="F133" s="139">
        <f>SUM(F134:F141)</f>
        <v>1947731.97</v>
      </c>
      <c r="G133" s="138">
        <f t="shared" si="4"/>
        <v>91.049549831712781</v>
      </c>
    </row>
    <row r="134" spans="2:7" ht="12.75" customHeight="1" x14ac:dyDescent="0.25">
      <c r="B134" s="217">
        <v>4312</v>
      </c>
      <c r="C134" s="218"/>
      <c r="D134" s="14" t="s">
        <v>99</v>
      </c>
      <c r="E134" s="139">
        <f>E321</f>
        <v>12000</v>
      </c>
      <c r="F134" s="139">
        <f>F321</f>
        <v>4580.75</v>
      </c>
      <c r="G134" s="138">
        <f t="shared" si="4"/>
        <v>38.172916666666666</v>
      </c>
    </row>
    <row r="135" spans="2:7" ht="12.75" customHeight="1" x14ac:dyDescent="0.25">
      <c r="B135" s="217">
        <v>4313</v>
      </c>
      <c r="C135" s="218"/>
      <c r="D135" s="15" t="s">
        <v>125</v>
      </c>
      <c r="E135" s="139">
        <f>E670+E779</f>
        <v>339600</v>
      </c>
      <c r="F135" s="139">
        <f>F670+F779</f>
        <v>293956.63</v>
      </c>
      <c r="G135" s="138">
        <f t="shared" si="4"/>
        <v>86.559667255594817</v>
      </c>
    </row>
    <row r="136" spans="2:7" ht="12.75" customHeight="1" x14ac:dyDescent="0.25">
      <c r="B136" s="217">
        <v>4314</v>
      </c>
      <c r="C136" s="218"/>
      <c r="D136" s="14" t="s">
        <v>224</v>
      </c>
      <c r="E136" s="139">
        <f>E787</f>
        <v>10000</v>
      </c>
      <c r="F136" s="139">
        <f>F787</f>
        <v>9236.5400000000009</v>
      </c>
      <c r="G136" s="138">
        <f t="shared" si="4"/>
        <v>92.365400000000008</v>
      </c>
    </row>
    <row r="137" spans="2:7" ht="28.5" customHeight="1" x14ac:dyDescent="0.25">
      <c r="B137" s="217">
        <v>4315</v>
      </c>
      <c r="C137" s="218"/>
      <c r="D137" s="14" t="s">
        <v>66</v>
      </c>
      <c r="E137" s="139">
        <f>E263</f>
        <v>88000</v>
      </c>
      <c r="F137" s="139">
        <f>F263</f>
        <v>78749.36</v>
      </c>
      <c r="G137" s="138">
        <f t="shared" si="4"/>
        <v>89.487909090909085</v>
      </c>
    </row>
    <row r="138" spans="2:7" ht="12.75" customHeight="1" x14ac:dyDescent="0.25">
      <c r="B138" s="217">
        <v>4316</v>
      </c>
      <c r="C138" s="218"/>
      <c r="D138" s="14" t="s">
        <v>46</v>
      </c>
      <c r="E138" s="139">
        <f>E230+E322</f>
        <v>55000</v>
      </c>
      <c r="F138" s="139">
        <f>F230+F322</f>
        <v>28750</v>
      </c>
      <c r="G138" s="138">
        <f t="shared" si="4"/>
        <v>52.272727272727273</v>
      </c>
    </row>
    <row r="139" spans="2:7" ht="12.75" customHeight="1" x14ac:dyDescent="0.25">
      <c r="B139" s="217">
        <v>4317</v>
      </c>
      <c r="C139" s="218"/>
      <c r="D139" s="47" t="s">
        <v>101</v>
      </c>
      <c r="E139" s="139">
        <f>E325</f>
        <v>10000</v>
      </c>
      <c r="F139" s="139">
        <f>F325</f>
        <v>0</v>
      </c>
      <c r="G139" s="143" t="s">
        <v>343</v>
      </c>
    </row>
    <row r="140" spans="2:7" ht="12.75" customHeight="1" x14ac:dyDescent="0.25">
      <c r="B140" s="217">
        <v>4318</v>
      </c>
      <c r="C140" s="218"/>
      <c r="D140" s="14" t="s">
        <v>103</v>
      </c>
      <c r="E140" s="139">
        <f>E326+E788</f>
        <v>54000</v>
      </c>
      <c r="F140" s="139">
        <f>F326+F788</f>
        <v>38894.9</v>
      </c>
      <c r="G140" s="138">
        <f t="shared" si="4"/>
        <v>72.027592592592597</v>
      </c>
    </row>
    <row r="141" spans="2:7" ht="12.75" customHeight="1" x14ac:dyDescent="0.25">
      <c r="B141" s="217">
        <v>4319</v>
      </c>
      <c r="C141" s="218"/>
      <c r="D141" s="14" t="s">
        <v>106</v>
      </c>
      <c r="E141" s="139">
        <f>SUM(E142:E150)</f>
        <v>1570600</v>
      </c>
      <c r="F141" s="139">
        <f>SUM(F142:F150)</f>
        <v>1493563.79</v>
      </c>
      <c r="G141" s="138">
        <f t="shared" si="4"/>
        <v>95.095109512288303</v>
      </c>
    </row>
    <row r="142" spans="2:7" ht="12.75" customHeight="1" x14ac:dyDescent="0.25">
      <c r="B142" s="219">
        <v>43191</v>
      </c>
      <c r="C142" s="220"/>
      <c r="D142" s="13" t="s">
        <v>108</v>
      </c>
      <c r="E142" s="140">
        <f t="shared" ref="E142:F145" si="6">E329</f>
        <v>250000</v>
      </c>
      <c r="F142" s="140">
        <f t="shared" si="6"/>
        <v>198023.35</v>
      </c>
      <c r="G142" s="144">
        <f t="shared" si="4"/>
        <v>79.209340000000012</v>
      </c>
    </row>
    <row r="143" spans="2:7" ht="12.75" customHeight="1" x14ac:dyDescent="0.25">
      <c r="B143" s="219">
        <v>43192</v>
      </c>
      <c r="C143" s="220"/>
      <c r="D143" s="13" t="s">
        <v>110</v>
      </c>
      <c r="E143" s="140">
        <f t="shared" si="6"/>
        <v>190000</v>
      </c>
      <c r="F143" s="140">
        <f t="shared" si="6"/>
        <v>190000</v>
      </c>
      <c r="G143" s="144">
        <f t="shared" si="4"/>
        <v>100</v>
      </c>
    </row>
    <row r="144" spans="2:7" ht="25.5" customHeight="1" x14ac:dyDescent="0.25">
      <c r="B144" s="219">
        <v>43193</v>
      </c>
      <c r="C144" s="220"/>
      <c r="D144" s="13" t="s">
        <v>349</v>
      </c>
      <c r="E144" s="140">
        <f t="shared" si="6"/>
        <v>260000</v>
      </c>
      <c r="F144" s="140">
        <f t="shared" si="6"/>
        <v>260000</v>
      </c>
      <c r="G144" s="144">
        <f t="shared" si="4"/>
        <v>100</v>
      </c>
    </row>
    <row r="145" spans="2:7" ht="12.75" customHeight="1" x14ac:dyDescent="0.25">
      <c r="B145" s="219">
        <v>43194</v>
      </c>
      <c r="C145" s="220"/>
      <c r="D145" s="13" t="s">
        <v>113</v>
      </c>
      <c r="E145" s="140">
        <f t="shared" si="6"/>
        <v>12000</v>
      </c>
      <c r="F145" s="140">
        <f t="shared" si="6"/>
        <v>0</v>
      </c>
      <c r="G145" s="130">
        <v>0</v>
      </c>
    </row>
    <row r="146" spans="2:7" ht="12.75" customHeight="1" x14ac:dyDescent="0.25">
      <c r="B146" s="206">
        <v>43195</v>
      </c>
      <c r="C146" s="207"/>
      <c r="D146" s="13" t="s">
        <v>318</v>
      </c>
      <c r="E146" s="140">
        <f>SUM(E790)</f>
        <v>394000</v>
      </c>
      <c r="F146" s="140">
        <f>SUM(F790)</f>
        <v>393500</v>
      </c>
      <c r="G146" s="144">
        <f t="shared" si="4"/>
        <v>99.873096446700501</v>
      </c>
    </row>
    <row r="147" spans="2:7" ht="14.25" customHeight="1" x14ac:dyDescent="0.25">
      <c r="B147" s="206">
        <v>43196</v>
      </c>
      <c r="C147" s="207"/>
      <c r="D147" s="13" t="s">
        <v>327</v>
      </c>
      <c r="E147" s="140">
        <f>SUM(E791)</f>
        <v>324500</v>
      </c>
      <c r="F147" s="140">
        <f>SUM(F791)</f>
        <v>324335.44</v>
      </c>
      <c r="G147" s="144">
        <f t="shared" si="4"/>
        <v>99.949288135593221</v>
      </c>
    </row>
    <row r="148" spans="2:7" ht="27" customHeight="1" x14ac:dyDescent="0.25">
      <c r="B148" s="91"/>
      <c r="C148" s="51">
        <v>43197</v>
      </c>
      <c r="D148" s="13" t="s">
        <v>348</v>
      </c>
      <c r="E148" s="145">
        <f t="shared" ref="E148:F148" si="7">SUM(E333)</f>
        <v>62600</v>
      </c>
      <c r="F148" s="145">
        <f t="shared" si="7"/>
        <v>62525</v>
      </c>
      <c r="G148" s="144">
        <f t="shared" si="4"/>
        <v>99.880191693290726</v>
      </c>
    </row>
    <row r="149" spans="2:7" ht="12.75" customHeight="1" x14ac:dyDescent="0.25">
      <c r="B149" s="91"/>
      <c r="C149" s="51">
        <v>43198</v>
      </c>
      <c r="D149" s="13" t="s">
        <v>382</v>
      </c>
      <c r="E149" s="145">
        <f>SUM(E334)</f>
        <v>75000</v>
      </c>
      <c r="F149" s="145">
        <f>SUM(F334)</f>
        <v>62880</v>
      </c>
      <c r="G149" s="144">
        <f t="shared" si="4"/>
        <v>83.84</v>
      </c>
    </row>
    <row r="150" spans="2:7" ht="12.75" customHeight="1" x14ac:dyDescent="0.25">
      <c r="B150" s="206">
        <v>43199</v>
      </c>
      <c r="C150" s="207"/>
      <c r="D150" s="13" t="s">
        <v>79</v>
      </c>
      <c r="E150" s="140">
        <f>SUM(E335)</f>
        <v>2500</v>
      </c>
      <c r="F150" s="140">
        <f>SUM(F335)</f>
        <v>2300</v>
      </c>
      <c r="G150" s="144">
        <f t="shared" si="4"/>
        <v>92</v>
      </c>
    </row>
    <row r="151" spans="2:7" ht="12.75" customHeight="1" x14ac:dyDescent="0.25">
      <c r="B151" s="215">
        <v>432</v>
      </c>
      <c r="C151" s="216"/>
      <c r="D151" s="14" t="s">
        <v>79</v>
      </c>
      <c r="E151" s="139">
        <f>SUM(E152)</f>
        <v>3162200</v>
      </c>
      <c r="F151" s="139">
        <f>SUM(F152)</f>
        <v>3161680</v>
      </c>
      <c r="G151" s="138">
        <f t="shared" si="4"/>
        <v>99.983555752324321</v>
      </c>
    </row>
    <row r="152" spans="2:7" ht="12.75" customHeight="1" x14ac:dyDescent="0.25">
      <c r="B152" s="217">
        <v>4326</v>
      </c>
      <c r="C152" s="218"/>
      <c r="D152" s="14" t="s">
        <v>81</v>
      </c>
      <c r="E152" s="139">
        <f>SUM(E153:E160)</f>
        <v>3162200</v>
      </c>
      <c r="F152" s="139">
        <f>SUM(F153:F160)</f>
        <v>3161680</v>
      </c>
      <c r="G152" s="138">
        <f t="shared" si="4"/>
        <v>99.983555752324321</v>
      </c>
    </row>
    <row r="153" spans="2:7" ht="12.75" customHeight="1" x14ac:dyDescent="0.25">
      <c r="B153" s="219">
        <v>43261</v>
      </c>
      <c r="C153" s="220"/>
      <c r="D153" s="13" t="s">
        <v>189</v>
      </c>
      <c r="E153" s="142">
        <f>E620</f>
        <v>460000</v>
      </c>
      <c r="F153" s="142">
        <f>F620</f>
        <v>460000</v>
      </c>
      <c r="G153" s="141">
        <f t="shared" si="4"/>
        <v>100</v>
      </c>
    </row>
    <row r="154" spans="2:7" ht="12.75" customHeight="1" x14ac:dyDescent="0.25">
      <c r="B154" s="219">
        <v>43262</v>
      </c>
      <c r="C154" s="220"/>
      <c r="D154" s="13" t="s">
        <v>115</v>
      </c>
      <c r="E154" s="142">
        <f>E340</f>
        <v>240000</v>
      </c>
      <c r="F154" s="142">
        <f>F340</f>
        <v>240000</v>
      </c>
      <c r="G154" s="141">
        <f t="shared" si="4"/>
        <v>100</v>
      </c>
    </row>
    <row r="155" spans="2:7" ht="12.75" customHeight="1" x14ac:dyDescent="0.25">
      <c r="B155" s="206">
        <v>43263</v>
      </c>
      <c r="C155" s="207"/>
      <c r="D155" s="13" t="s">
        <v>226</v>
      </c>
      <c r="E155" s="140">
        <f>E683</f>
        <v>320000</v>
      </c>
      <c r="F155" s="140">
        <f>F683</f>
        <v>320000</v>
      </c>
      <c r="G155" s="141">
        <f t="shared" si="4"/>
        <v>100</v>
      </c>
    </row>
    <row r="156" spans="2:7" ht="12.75" customHeight="1" x14ac:dyDescent="0.25">
      <c r="B156" s="206">
        <v>43264</v>
      </c>
      <c r="C156" s="207"/>
      <c r="D156" s="13" t="s">
        <v>117</v>
      </c>
      <c r="E156" s="142">
        <f>E341</f>
        <v>80200</v>
      </c>
      <c r="F156" s="142">
        <f>F341</f>
        <v>80156</v>
      </c>
      <c r="G156" s="141">
        <f t="shared" si="4"/>
        <v>99.94513715710724</v>
      </c>
    </row>
    <row r="157" spans="2:7" ht="12.75" customHeight="1" x14ac:dyDescent="0.25">
      <c r="B157" s="206">
        <v>43265</v>
      </c>
      <c r="C157" s="207"/>
      <c r="D157" s="13" t="s">
        <v>83</v>
      </c>
      <c r="E157" s="140">
        <f>SUM(E714)</f>
        <v>1735000</v>
      </c>
      <c r="F157" s="140">
        <f>SUM(F714)</f>
        <v>1734524</v>
      </c>
      <c r="G157" s="141">
        <f t="shared" si="4"/>
        <v>99.972564841498553</v>
      </c>
    </row>
    <row r="158" spans="2:7" ht="12.75" customHeight="1" x14ac:dyDescent="0.25">
      <c r="B158" s="206">
        <v>43266</v>
      </c>
      <c r="C158" s="207"/>
      <c r="D158" s="13" t="s">
        <v>119</v>
      </c>
      <c r="E158" s="142">
        <f>E342</f>
        <v>87000</v>
      </c>
      <c r="F158" s="142">
        <f>F342</f>
        <v>87000</v>
      </c>
      <c r="G158" s="141">
        <f t="shared" ref="G158:G169" si="8">F158/E158*100</f>
        <v>100</v>
      </c>
    </row>
    <row r="159" spans="2:7" ht="12.75" customHeight="1" x14ac:dyDescent="0.25">
      <c r="B159" s="91"/>
      <c r="C159" s="92">
        <v>43267</v>
      </c>
      <c r="D159" s="13" t="s">
        <v>191</v>
      </c>
      <c r="E159" s="142">
        <f>SUM(E621)</f>
        <v>5000</v>
      </c>
      <c r="F159" s="142">
        <f>SUM(F621)</f>
        <v>5000</v>
      </c>
      <c r="G159" s="141">
        <f t="shared" si="8"/>
        <v>100</v>
      </c>
    </row>
    <row r="160" spans="2:7" ht="12.75" customHeight="1" x14ac:dyDescent="0.25">
      <c r="B160" s="91"/>
      <c r="C160" s="92">
        <v>43268</v>
      </c>
      <c r="D160" s="13" t="s">
        <v>328</v>
      </c>
      <c r="E160" s="142">
        <f>SUM(E622)</f>
        <v>235000</v>
      </c>
      <c r="F160" s="142">
        <f>SUM(F622)</f>
        <v>235000</v>
      </c>
      <c r="G160" s="141">
        <f t="shared" si="8"/>
        <v>100</v>
      </c>
    </row>
    <row r="161" spans="2:7" ht="12.75" customHeight="1" x14ac:dyDescent="0.25">
      <c r="B161" s="208">
        <v>46</v>
      </c>
      <c r="C161" s="209"/>
      <c r="D161" s="14" t="s">
        <v>293</v>
      </c>
      <c r="E161" s="139">
        <f>SUM(E162+E164)</f>
        <v>2570100</v>
      </c>
      <c r="F161" s="139">
        <f>SUM(F162+F164)</f>
        <v>2473840.7199999997</v>
      </c>
      <c r="G161" s="138">
        <f t="shared" si="8"/>
        <v>96.254648457258469</v>
      </c>
    </row>
    <row r="162" spans="2:7" ht="12.75" customHeight="1" x14ac:dyDescent="0.25">
      <c r="B162" s="179">
        <v>461</v>
      </c>
      <c r="C162" s="180"/>
      <c r="D162" s="14" t="s">
        <v>142</v>
      </c>
      <c r="E162" s="127">
        <f>SUM(E163)</f>
        <v>240200</v>
      </c>
      <c r="F162" s="127">
        <f>SUM(F163)</f>
        <v>240130</v>
      </c>
      <c r="G162" s="138">
        <f t="shared" si="8"/>
        <v>99.970857618651124</v>
      </c>
    </row>
    <row r="163" spans="2:7" ht="12.75" customHeight="1" x14ac:dyDescent="0.25">
      <c r="B163" s="175">
        <v>4611</v>
      </c>
      <c r="C163" s="176"/>
      <c r="D163" s="13" t="s">
        <v>144</v>
      </c>
      <c r="E163" s="130">
        <f>E378</f>
        <v>240200</v>
      </c>
      <c r="F163" s="130">
        <f>F378</f>
        <v>240130</v>
      </c>
      <c r="G163" s="141">
        <f t="shared" si="8"/>
        <v>99.970857618651124</v>
      </c>
    </row>
    <row r="164" spans="2:7" ht="12.75" customHeight="1" x14ac:dyDescent="0.25">
      <c r="B164" s="179">
        <v>463</v>
      </c>
      <c r="C164" s="180"/>
      <c r="D164" s="14" t="s">
        <v>56</v>
      </c>
      <c r="E164" s="127">
        <f>SUM(E165)</f>
        <v>2329900</v>
      </c>
      <c r="F164" s="127">
        <f>SUM(F165)</f>
        <v>2233710.7199999997</v>
      </c>
      <c r="G164" s="138">
        <f t="shared" si="8"/>
        <v>95.871527533370511</v>
      </c>
    </row>
    <row r="165" spans="2:7" ht="12.75" customHeight="1" x14ac:dyDescent="0.25">
      <c r="B165" s="175">
        <v>4631</v>
      </c>
      <c r="C165" s="176"/>
      <c r="D165" s="13" t="s">
        <v>56</v>
      </c>
      <c r="E165" s="130">
        <f>SUM(E234+E267+E293+E735+E346+E380+E411+E433+E460+E491+E513+E575+E596+E628+E651+E688+E535+E760+E795)</f>
        <v>2329900</v>
      </c>
      <c r="F165" s="130">
        <f>SUM(F234+F267+F293+F735+F346+F380+F411+F433+F460+F491+F513+F575+F596+F628+F651+F688+F535+F760+F795)</f>
        <v>2233710.7199999997</v>
      </c>
      <c r="G165" s="141">
        <f t="shared" si="8"/>
        <v>95.871527533370511</v>
      </c>
    </row>
    <row r="166" spans="2:7" ht="12.75" customHeight="1" x14ac:dyDescent="0.25">
      <c r="B166" s="177">
        <v>47</v>
      </c>
      <c r="C166" s="178"/>
      <c r="D166" s="14" t="s">
        <v>294</v>
      </c>
      <c r="E166" s="139">
        <f>SUM(E167:E168)</f>
        <v>290000</v>
      </c>
      <c r="F166" s="139">
        <f>SUM(F167:F168)</f>
        <v>221770.46</v>
      </c>
      <c r="G166" s="138">
        <f t="shared" si="8"/>
        <v>76.472572413793102</v>
      </c>
    </row>
    <row r="167" spans="2:7" ht="12.75" customHeight="1" x14ac:dyDescent="0.25">
      <c r="B167" s="179">
        <v>471</v>
      </c>
      <c r="C167" s="180"/>
      <c r="D167" s="14" t="s">
        <v>148</v>
      </c>
      <c r="E167" s="139">
        <f>E383</f>
        <v>280000</v>
      </c>
      <c r="F167" s="139">
        <f>F383</f>
        <v>221770.46</v>
      </c>
      <c r="G167" s="138">
        <f t="shared" si="8"/>
        <v>79.203735714285713</v>
      </c>
    </row>
    <row r="168" spans="2:7" ht="12.75" customHeight="1" x14ac:dyDescent="0.25">
      <c r="B168" s="179">
        <v>472</v>
      </c>
      <c r="C168" s="180"/>
      <c r="D168" s="14" t="s">
        <v>151</v>
      </c>
      <c r="E168" s="139">
        <f>E385</f>
        <v>10000</v>
      </c>
      <c r="F168" s="139">
        <f>F385</f>
        <v>0</v>
      </c>
      <c r="G168" s="143" t="s">
        <v>343</v>
      </c>
    </row>
    <row r="169" spans="2:7" ht="20.25" customHeight="1" thickBot="1" x14ac:dyDescent="0.3">
      <c r="B169" s="183"/>
      <c r="C169" s="184"/>
      <c r="D169" s="42" t="s">
        <v>306</v>
      </c>
      <c r="E169" s="146">
        <f>E88+E129+E132+E161+E166</f>
        <v>12553000</v>
      </c>
      <c r="F169" s="146">
        <f>F88+F129+F132+F161+F166-0.03</f>
        <v>11656864.680000002</v>
      </c>
      <c r="G169" s="147">
        <f t="shared" si="8"/>
        <v>92.861186011312043</v>
      </c>
    </row>
    <row r="170" spans="2:7" ht="12.75" customHeight="1" x14ac:dyDescent="0.3">
      <c r="B170" s="185"/>
      <c r="C170" s="185"/>
      <c r="D170" s="32"/>
      <c r="E170" s="33"/>
      <c r="F170" s="25"/>
      <c r="G170" s="111"/>
    </row>
    <row r="171" spans="2:7" ht="12.75" customHeight="1" x14ac:dyDescent="0.3">
      <c r="B171" s="89"/>
      <c r="C171" s="89"/>
      <c r="D171" s="32"/>
      <c r="E171" s="33"/>
      <c r="F171" s="25"/>
      <c r="G171" s="111"/>
    </row>
    <row r="172" spans="2:7" ht="12.75" customHeight="1" x14ac:dyDescent="0.3">
      <c r="B172" s="210"/>
      <c r="C172" s="210"/>
      <c r="D172" s="34"/>
      <c r="E172" s="34"/>
      <c r="F172" s="25"/>
      <c r="G172" s="111"/>
    </row>
    <row r="173" spans="2:7" ht="12.75" customHeight="1" x14ac:dyDescent="0.25">
      <c r="B173" s="181" t="s">
        <v>295</v>
      </c>
      <c r="C173" s="181"/>
      <c r="D173" s="181"/>
      <c r="E173" s="181"/>
      <c r="F173" s="181"/>
      <c r="G173" s="181"/>
    </row>
    <row r="174" spans="2:7" ht="12.75" customHeight="1" x14ac:dyDescent="0.25">
      <c r="B174" s="182"/>
      <c r="C174" s="182"/>
      <c r="D174" s="35"/>
      <c r="E174" s="35"/>
      <c r="F174" s="4"/>
      <c r="G174" s="106"/>
    </row>
    <row r="175" spans="2:7" ht="12.75" customHeight="1" x14ac:dyDescent="0.25">
      <c r="B175" s="182"/>
      <c r="C175" s="182"/>
      <c r="D175" s="35"/>
      <c r="E175" s="35"/>
      <c r="F175" s="4"/>
      <c r="G175" s="106"/>
    </row>
    <row r="176" spans="2:7" ht="12.75" customHeight="1" thickBot="1" x14ac:dyDescent="0.3">
      <c r="B176" s="182"/>
      <c r="C176" s="182"/>
      <c r="D176" s="35"/>
      <c r="E176" s="35"/>
      <c r="F176" s="4"/>
      <c r="G176" s="106"/>
    </row>
    <row r="177" spans="2:7" ht="12.75" customHeight="1" x14ac:dyDescent="0.25">
      <c r="B177" s="211" t="s">
        <v>228</v>
      </c>
      <c r="C177" s="212"/>
      <c r="D177" s="90" t="s">
        <v>0</v>
      </c>
      <c r="E177" s="90" t="s">
        <v>229</v>
      </c>
      <c r="F177" s="5" t="s">
        <v>230</v>
      </c>
      <c r="G177" s="81" t="s">
        <v>231</v>
      </c>
    </row>
    <row r="178" spans="2:7" ht="12.75" customHeight="1" x14ac:dyDescent="0.25">
      <c r="B178" s="213">
        <v>44</v>
      </c>
      <c r="C178" s="214"/>
      <c r="D178" s="36"/>
      <c r="E178" s="36"/>
      <c r="F178" s="12"/>
      <c r="G178" s="112"/>
    </row>
    <row r="179" spans="2:7" ht="12.75" customHeight="1" x14ac:dyDescent="0.25">
      <c r="B179" s="168">
        <v>441</v>
      </c>
      <c r="C179" s="169"/>
      <c r="D179" s="37" t="s">
        <v>48</v>
      </c>
      <c r="E179" s="148">
        <f>SUM(E180:E185)</f>
        <v>1747000</v>
      </c>
      <c r="F179" s="148">
        <f>SUM(F180:F185)</f>
        <v>750523.78999999992</v>
      </c>
      <c r="G179" s="107">
        <f>F179/E179*100</f>
        <v>42.960720663995417</v>
      </c>
    </row>
    <row r="180" spans="2:7" ht="12.75" customHeight="1" x14ac:dyDescent="0.25">
      <c r="B180" s="155">
        <v>4411</v>
      </c>
      <c r="C180" s="156"/>
      <c r="D180" s="98" t="s">
        <v>354</v>
      </c>
      <c r="E180" s="148">
        <f>SUM(E716)</f>
        <v>286000</v>
      </c>
      <c r="F180" s="148">
        <f>SUM(F716)</f>
        <v>285101</v>
      </c>
      <c r="G180" s="107">
        <f>F180/E180*100</f>
        <v>99.685664335664342</v>
      </c>
    </row>
    <row r="181" spans="2:7" ht="12.75" customHeight="1" x14ac:dyDescent="0.25">
      <c r="B181" s="155">
        <v>4412</v>
      </c>
      <c r="C181" s="156"/>
      <c r="D181" s="16" t="s">
        <v>171</v>
      </c>
      <c r="E181" s="127">
        <f>E457+E685+E717+E624</f>
        <v>317000</v>
      </c>
      <c r="F181" s="127">
        <f>F457+F685+F717+F624</f>
        <v>51746.44</v>
      </c>
      <c r="G181" s="107">
        <f t="shared" ref="G181:G187" si="9">F181/E181*100</f>
        <v>16.32379810725552</v>
      </c>
    </row>
    <row r="182" spans="2:7" ht="12.75" customHeight="1" x14ac:dyDescent="0.25">
      <c r="B182" s="155">
        <v>4413</v>
      </c>
      <c r="C182" s="156"/>
      <c r="D182" s="16" t="s">
        <v>85</v>
      </c>
      <c r="E182" s="127">
        <f>E720</f>
        <v>345000</v>
      </c>
      <c r="F182" s="127">
        <f>F720</f>
        <v>231466.99</v>
      </c>
      <c r="G182" s="107">
        <f t="shared" si="9"/>
        <v>67.091881159420282</v>
      </c>
    </row>
    <row r="183" spans="2:7" ht="12.75" customHeight="1" x14ac:dyDescent="0.25">
      <c r="B183" s="155">
        <v>4415</v>
      </c>
      <c r="C183" s="156"/>
      <c r="D183" s="16" t="s">
        <v>50</v>
      </c>
      <c r="E183" s="127">
        <f>E232+E265+E291+E344+E375+E409+E430+E458+E488+E510+E533+E567+E594+E625+E649+E686+E728+E757+E793</f>
        <v>147500</v>
      </c>
      <c r="F183" s="127">
        <f>F232+F265+F291+F344+F375+F409+F430+F458+F488+F510+F533+F567+F594+F625+F649+F686+F728+F757+F793</f>
        <v>24175.599999999999</v>
      </c>
      <c r="G183" s="107">
        <f t="shared" si="9"/>
        <v>16.390237288135591</v>
      </c>
    </row>
    <row r="184" spans="2:7" ht="12.75" customHeight="1" x14ac:dyDescent="0.25">
      <c r="B184" s="155">
        <v>4416</v>
      </c>
      <c r="C184" s="156"/>
      <c r="D184" s="16" t="s">
        <v>52</v>
      </c>
      <c r="E184" s="127">
        <f>E569+E626+E729+E431</f>
        <v>230500</v>
      </c>
      <c r="F184" s="127">
        <f>F569+F626+F729+F431</f>
        <v>35653</v>
      </c>
      <c r="G184" s="107">
        <f t="shared" si="9"/>
        <v>15.46767895878525</v>
      </c>
    </row>
    <row r="185" spans="2:7" ht="12.75" customHeight="1" x14ac:dyDescent="0.25">
      <c r="B185" s="155">
        <v>4419</v>
      </c>
      <c r="C185" s="156"/>
      <c r="D185" s="16" t="s">
        <v>132</v>
      </c>
      <c r="E185" s="127">
        <f>E376+E489+E511+E570+E733</f>
        <v>421000</v>
      </c>
      <c r="F185" s="127">
        <f>F376+F489+F511+F570+F733</f>
        <v>122380.76</v>
      </c>
      <c r="G185" s="107">
        <f t="shared" si="9"/>
        <v>29.069064133016624</v>
      </c>
    </row>
    <row r="186" spans="2:7" ht="17.25" customHeight="1" x14ac:dyDescent="0.25">
      <c r="B186" s="157"/>
      <c r="C186" s="158"/>
      <c r="D186" s="43" t="s">
        <v>305</v>
      </c>
      <c r="E186" s="149">
        <f>SUM(E180:E185)</f>
        <v>1747000</v>
      </c>
      <c r="F186" s="149">
        <f>SUM(F180:F185)</f>
        <v>750523.78999999992</v>
      </c>
      <c r="G186" s="107">
        <f t="shared" si="9"/>
        <v>42.960720663995417</v>
      </c>
    </row>
    <row r="187" spans="2:7" ht="24.75" customHeight="1" thickBot="1" x14ac:dyDescent="0.35">
      <c r="B187" s="159"/>
      <c r="C187" s="160"/>
      <c r="D187" s="41" t="s">
        <v>304</v>
      </c>
      <c r="E187" s="150">
        <f>SUM(E169+E186)</f>
        <v>14300000</v>
      </c>
      <c r="F187" s="150">
        <f>F169+F186</f>
        <v>12407388.470000001</v>
      </c>
      <c r="G187" s="151">
        <f t="shared" si="9"/>
        <v>86.764954335664328</v>
      </c>
    </row>
    <row r="197" spans="1:12" ht="19.5" customHeight="1" x14ac:dyDescent="0.4">
      <c r="A197" s="54"/>
      <c r="B197" s="54"/>
      <c r="C197" s="198" t="s">
        <v>298</v>
      </c>
      <c r="D197" s="198"/>
      <c r="E197" s="198"/>
      <c r="F197" s="39"/>
      <c r="G197" s="113"/>
      <c r="H197" s="39"/>
    </row>
    <row r="198" spans="1:12" ht="16.5" customHeight="1" x14ac:dyDescent="0.3">
      <c r="A198" s="55"/>
      <c r="B198" s="55"/>
      <c r="C198" s="55"/>
      <c r="D198" s="94" t="s">
        <v>285</v>
      </c>
      <c r="E198" s="40"/>
      <c r="F198" s="40"/>
      <c r="G198" s="114"/>
      <c r="H198" s="40"/>
    </row>
    <row r="199" spans="1:12" ht="16.5" customHeight="1" x14ac:dyDescent="0.3">
      <c r="A199" s="55"/>
      <c r="B199" s="55"/>
      <c r="C199" s="55"/>
      <c r="D199" s="94" t="s">
        <v>299</v>
      </c>
      <c r="E199" s="40"/>
      <c r="F199" s="40"/>
      <c r="G199" s="114"/>
      <c r="H199" s="40"/>
    </row>
    <row r="200" spans="1:12" ht="16.5" customHeight="1" x14ac:dyDescent="0.3">
      <c r="A200" s="55"/>
      <c r="B200" s="55"/>
      <c r="C200" s="154" t="s">
        <v>300</v>
      </c>
      <c r="D200" s="154"/>
      <c r="E200" s="154"/>
      <c r="F200" s="40"/>
      <c r="G200" s="114"/>
      <c r="H200" s="40"/>
    </row>
    <row r="201" spans="1:12" ht="16.5" customHeight="1" x14ac:dyDescent="0.3">
      <c r="A201" s="55"/>
      <c r="B201" s="55"/>
      <c r="C201" s="55"/>
      <c r="D201" s="94"/>
      <c r="E201" s="94"/>
      <c r="F201" s="94"/>
      <c r="G201" s="114"/>
      <c r="H201" s="94"/>
    </row>
    <row r="202" spans="1:12" ht="15" customHeight="1" x14ac:dyDescent="0.25">
      <c r="A202" s="55"/>
      <c r="B202" s="55"/>
      <c r="C202" s="55"/>
      <c r="D202" s="55"/>
      <c r="E202" s="55"/>
      <c r="F202" s="55"/>
      <c r="G202" s="115"/>
    </row>
    <row r="203" spans="1:12" s="56" customFormat="1" ht="13.5" customHeight="1" x14ac:dyDescent="0.25">
      <c r="A203" s="153" t="s">
        <v>301</v>
      </c>
      <c r="B203" s="153" t="s">
        <v>228</v>
      </c>
      <c r="C203" s="153"/>
      <c r="D203" s="161" t="s">
        <v>0</v>
      </c>
      <c r="E203" s="153" t="s">
        <v>229</v>
      </c>
      <c r="F203" s="153" t="s">
        <v>230</v>
      </c>
      <c r="G203" s="188" t="s">
        <v>302</v>
      </c>
    </row>
    <row r="204" spans="1:12" s="56" customFormat="1" ht="15" customHeight="1" x14ac:dyDescent="0.25">
      <c r="A204" s="153"/>
      <c r="B204" s="153"/>
      <c r="C204" s="153"/>
      <c r="D204" s="161"/>
      <c r="E204" s="153"/>
      <c r="F204" s="153"/>
      <c r="G204" s="188"/>
    </row>
    <row r="205" spans="1:12" s="56" customFormat="1" ht="20.25" customHeight="1" x14ac:dyDescent="0.25">
      <c r="A205" s="153"/>
      <c r="B205" s="153"/>
      <c r="C205" s="153"/>
      <c r="D205" s="161"/>
      <c r="E205" s="153"/>
      <c r="F205" s="153"/>
      <c r="G205" s="188"/>
    </row>
    <row r="206" spans="1:12" ht="23.25" customHeight="1" x14ac:dyDescent="0.25">
      <c r="A206" s="57" t="s">
        <v>1</v>
      </c>
      <c r="B206" s="58"/>
      <c r="C206" s="58"/>
      <c r="D206" s="162" t="s">
        <v>2</v>
      </c>
      <c r="E206" s="173">
        <f>E208+E214+E216+E233+E231+E220+E229+E226</f>
        <v>337416</v>
      </c>
      <c r="F206" s="173">
        <f>F208+F214+F216+F233+F231+F220+F229+F226</f>
        <v>301127.98</v>
      </c>
      <c r="G206" s="186">
        <f>F206/E206*100</f>
        <v>89.245317353059718</v>
      </c>
    </row>
    <row r="207" spans="1:12" ht="13.5" customHeight="1" x14ac:dyDescent="0.25">
      <c r="A207" s="58"/>
      <c r="B207" s="58"/>
      <c r="C207" s="58"/>
      <c r="D207" s="163"/>
      <c r="E207" s="174"/>
      <c r="F207" s="174"/>
      <c r="G207" s="187"/>
      <c r="L207" s="59"/>
    </row>
    <row r="208" spans="1:12" ht="13.5" customHeight="1" x14ac:dyDescent="0.25">
      <c r="A208" s="58"/>
      <c r="B208" s="60" t="s">
        <v>3</v>
      </c>
      <c r="C208" s="58"/>
      <c r="D208" s="61" t="s">
        <v>4</v>
      </c>
      <c r="E208" s="62">
        <f>SUM(E209:E213)</f>
        <v>158116</v>
      </c>
      <c r="F208" s="62">
        <f>SUM(F209:F213)</f>
        <v>140975.24999999997</v>
      </c>
      <c r="G208" s="116">
        <f t="shared" ref="G208:G235" si="10">F208/E208*100</f>
        <v>89.159382984644168</v>
      </c>
    </row>
    <row r="209" spans="1:17" ht="13" x14ac:dyDescent="0.3">
      <c r="A209" s="58"/>
      <c r="B209" s="58"/>
      <c r="C209" s="63" t="s">
        <v>5</v>
      </c>
      <c r="D209" s="64" t="s">
        <v>6</v>
      </c>
      <c r="E209" s="152">
        <v>148618</v>
      </c>
      <c r="F209" s="152">
        <f>139172.06-60</f>
        <v>139112.06</v>
      </c>
      <c r="G209" s="117">
        <f t="shared" si="10"/>
        <v>93.603776124022659</v>
      </c>
      <c r="M209" s="232"/>
      <c r="N209" s="232"/>
      <c r="O209" s="232"/>
      <c r="P209" s="232"/>
      <c r="Q209" s="232"/>
    </row>
    <row r="210" spans="1:17" ht="12.5" x14ac:dyDescent="0.25">
      <c r="A210" s="58"/>
      <c r="B210" s="58"/>
      <c r="C210" s="63" t="s">
        <v>7</v>
      </c>
      <c r="D210" s="64" t="s">
        <v>8</v>
      </c>
      <c r="E210" s="152">
        <v>1340</v>
      </c>
      <c r="F210" s="152">
        <v>39.74</v>
      </c>
      <c r="G210" s="117">
        <f t="shared" si="10"/>
        <v>2.9656716417910447</v>
      </c>
    </row>
    <row r="211" spans="1:17" ht="12.5" x14ac:dyDescent="0.25">
      <c r="A211" s="58"/>
      <c r="B211" s="58"/>
      <c r="C211" s="63" t="s">
        <v>9</v>
      </c>
      <c r="D211" s="64" t="s">
        <v>10</v>
      </c>
      <c r="E211" s="152">
        <v>5000</v>
      </c>
      <c r="F211" s="152">
        <v>597.55999999999995</v>
      </c>
      <c r="G211" s="117">
        <f t="shared" si="10"/>
        <v>11.9512</v>
      </c>
    </row>
    <row r="212" spans="1:17" ht="12.5" x14ac:dyDescent="0.25">
      <c r="A212" s="58"/>
      <c r="B212" s="58"/>
      <c r="C212" s="63" t="s">
        <v>11</v>
      </c>
      <c r="D212" s="64" t="s">
        <v>12</v>
      </c>
      <c r="E212" s="152">
        <v>2078</v>
      </c>
      <c r="F212" s="152">
        <v>239.02</v>
      </c>
      <c r="G212" s="117">
        <f t="shared" si="10"/>
        <v>11.502406159769009</v>
      </c>
    </row>
    <row r="213" spans="1:17" ht="12.5" x14ac:dyDescent="0.25">
      <c r="A213" s="58"/>
      <c r="B213" s="58"/>
      <c r="C213" s="63" t="s">
        <v>13</v>
      </c>
      <c r="D213" s="64" t="s">
        <v>14</v>
      </c>
      <c r="E213" s="152">
        <v>1080</v>
      </c>
      <c r="F213" s="152">
        <v>986.87</v>
      </c>
      <c r="G213" s="117">
        <f t="shared" si="10"/>
        <v>91.376851851851853</v>
      </c>
    </row>
    <row r="214" spans="1:17" s="120" customFormat="1" ht="13.5" customHeight="1" x14ac:dyDescent="0.25">
      <c r="A214" s="121"/>
      <c r="B214" s="60" t="s">
        <v>15</v>
      </c>
      <c r="C214" s="121"/>
      <c r="D214" s="61" t="s">
        <v>16</v>
      </c>
      <c r="E214" s="62">
        <v>3000</v>
      </c>
      <c r="F214" s="62">
        <v>1890</v>
      </c>
      <c r="G214" s="116">
        <f t="shared" si="10"/>
        <v>63</v>
      </c>
    </row>
    <row r="215" spans="1:17" ht="12.5" x14ac:dyDescent="0.25">
      <c r="A215" s="58"/>
      <c r="B215" s="58"/>
      <c r="C215" s="63" t="s">
        <v>17</v>
      </c>
      <c r="D215" s="64" t="s">
        <v>18</v>
      </c>
      <c r="E215" s="152">
        <v>3000</v>
      </c>
      <c r="F215" s="152">
        <v>1890</v>
      </c>
      <c r="G215" s="117">
        <f t="shared" si="10"/>
        <v>63</v>
      </c>
    </row>
    <row r="216" spans="1:17" ht="13.5" customHeight="1" x14ac:dyDescent="0.25">
      <c r="A216" s="58"/>
      <c r="B216" s="60" t="s">
        <v>19</v>
      </c>
      <c r="C216" s="58"/>
      <c r="D216" s="61" t="s">
        <v>20</v>
      </c>
      <c r="E216" s="62">
        <v>3000</v>
      </c>
      <c r="F216" s="62">
        <v>768.73</v>
      </c>
      <c r="G216" s="116">
        <f t="shared" si="10"/>
        <v>25.624333333333333</v>
      </c>
    </row>
    <row r="217" spans="1:17" ht="12.5" x14ac:dyDescent="0.25">
      <c r="A217" s="58"/>
      <c r="B217" s="58"/>
      <c r="C217" s="63" t="s">
        <v>23</v>
      </c>
      <c r="D217" s="64" t="s">
        <v>24</v>
      </c>
      <c r="E217" s="152">
        <v>2000</v>
      </c>
      <c r="F217" s="152">
        <v>661</v>
      </c>
      <c r="G217" s="117">
        <f t="shared" si="10"/>
        <v>33.050000000000004</v>
      </c>
    </row>
    <row r="218" spans="1:17" ht="12.5" x14ac:dyDescent="0.25">
      <c r="A218" s="58"/>
      <c r="B218" s="58"/>
      <c r="C218" s="65">
        <v>41331</v>
      </c>
      <c r="D218" s="64" t="s">
        <v>367</v>
      </c>
      <c r="E218" s="152">
        <v>2000</v>
      </c>
      <c r="F218" s="152">
        <v>661</v>
      </c>
      <c r="G218" s="117">
        <f t="shared" si="10"/>
        <v>33.050000000000004</v>
      </c>
    </row>
    <row r="219" spans="1:17" ht="12.5" x14ac:dyDescent="0.25">
      <c r="A219" s="58"/>
      <c r="B219" s="58"/>
      <c r="C219" s="63" t="s">
        <v>25</v>
      </c>
      <c r="D219" s="64" t="s">
        <v>26</v>
      </c>
      <c r="E219" s="152">
        <v>1000</v>
      </c>
      <c r="F219" s="152">
        <v>107.73</v>
      </c>
      <c r="G219" s="117">
        <f t="shared" si="10"/>
        <v>10.773000000000001</v>
      </c>
    </row>
    <row r="220" spans="1:17" ht="13.5" customHeight="1" x14ac:dyDescent="0.25">
      <c r="A220" s="58"/>
      <c r="B220" s="60" t="s">
        <v>27</v>
      </c>
      <c r="C220" s="58"/>
      <c r="D220" s="61" t="s">
        <v>28</v>
      </c>
      <c r="E220" s="62">
        <v>17500</v>
      </c>
      <c r="F220" s="62">
        <v>11569.54</v>
      </c>
      <c r="G220" s="116">
        <f t="shared" si="10"/>
        <v>66.111657142857155</v>
      </c>
    </row>
    <row r="221" spans="1:17" ht="12.5" x14ac:dyDescent="0.25">
      <c r="A221" s="58"/>
      <c r="B221" s="58"/>
      <c r="C221" s="63" t="s">
        <v>29</v>
      </c>
      <c r="D221" s="64" t="s">
        <v>30</v>
      </c>
      <c r="E221" s="152">
        <v>5000</v>
      </c>
      <c r="F221" s="152">
        <v>3035.55</v>
      </c>
      <c r="G221" s="117">
        <f t="shared" si="10"/>
        <v>60.711000000000006</v>
      </c>
    </row>
    <row r="222" spans="1:17" ht="12.5" x14ac:dyDescent="0.25">
      <c r="A222" s="58"/>
      <c r="B222" s="58"/>
      <c r="C222" s="63" t="s">
        <v>31</v>
      </c>
      <c r="D222" s="64" t="s">
        <v>32</v>
      </c>
      <c r="E222" s="152">
        <v>10000</v>
      </c>
      <c r="F222" s="152">
        <v>7846.79</v>
      </c>
      <c r="G222" s="117">
        <f t="shared" si="10"/>
        <v>78.4679</v>
      </c>
    </row>
    <row r="223" spans="1:17" ht="12.5" x14ac:dyDescent="0.25">
      <c r="A223" s="58"/>
      <c r="B223" s="58"/>
      <c r="C223" s="63" t="s">
        <v>35</v>
      </c>
      <c r="D223" s="64" t="s">
        <v>36</v>
      </c>
      <c r="E223" s="152">
        <v>1000</v>
      </c>
      <c r="F223" s="152">
        <v>0</v>
      </c>
      <c r="G223" s="152">
        <v>0</v>
      </c>
    </row>
    <row r="224" spans="1:17" ht="12.5" x14ac:dyDescent="0.25">
      <c r="A224" s="58"/>
      <c r="B224" s="58"/>
      <c r="C224" s="63" t="s">
        <v>37</v>
      </c>
      <c r="D224" s="64" t="s">
        <v>38</v>
      </c>
      <c r="E224" s="152">
        <v>1500</v>
      </c>
      <c r="F224" s="152">
        <v>687.2</v>
      </c>
      <c r="G224" s="117">
        <f t="shared" si="10"/>
        <v>45.813333333333333</v>
      </c>
    </row>
    <row r="225" spans="1:7" ht="12.5" x14ac:dyDescent="0.25">
      <c r="A225" s="58"/>
      <c r="B225" s="58"/>
      <c r="C225" s="65">
        <v>41491</v>
      </c>
      <c r="D225" s="64" t="s">
        <v>373</v>
      </c>
      <c r="E225" s="152">
        <v>1500</v>
      </c>
      <c r="F225" s="152">
        <v>542</v>
      </c>
      <c r="G225" s="117">
        <f t="shared" si="10"/>
        <v>36.133333333333333</v>
      </c>
    </row>
    <row r="226" spans="1:7" ht="12.5" x14ac:dyDescent="0.25">
      <c r="A226" s="58"/>
      <c r="B226" s="60">
        <v>419</v>
      </c>
      <c r="C226" s="65"/>
      <c r="D226" s="101" t="s">
        <v>89</v>
      </c>
      <c r="E226" s="62">
        <v>5000</v>
      </c>
      <c r="F226" s="67">
        <v>3142.7</v>
      </c>
      <c r="G226" s="116">
        <f t="shared" si="10"/>
        <v>62.853999999999999</v>
      </c>
    </row>
    <row r="227" spans="1:7" ht="12.5" x14ac:dyDescent="0.25">
      <c r="A227" s="58"/>
      <c r="B227" s="58"/>
      <c r="C227" s="63">
        <v>4199</v>
      </c>
      <c r="D227" s="99" t="s">
        <v>93</v>
      </c>
      <c r="E227" s="152">
        <v>5000</v>
      </c>
      <c r="F227" s="152">
        <v>3142.7</v>
      </c>
      <c r="G227" s="117">
        <f t="shared" si="10"/>
        <v>62.853999999999999</v>
      </c>
    </row>
    <row r="228" spans="1:7" ht="12.5" x14ac:dyDescent="0.25">
      <c r="A228" s="58"/>
      <c r="B228" s="58"/>
      <c r="C228" s="65">
        <v>41996</v>
      </c>
      <c r="D228" s="99" t="s">
        <v>381</v>
      </c>
      <c r="E228" s="152">
        <v>5000</v>
      </c>
      <c r="F228" s="152">
        <v>3142.7</v>
      </c>
      <c r="G228" s="117">
        <f t="shared" si="10"/>
        <v>62.853999999999999</v>
      </c>
    </row>
    <row r="229" spans="1:7" ht="29.25" customHeight="1" x14ac:dyDescent="0.25">
      <c r="A229" s="58"/>
      <c r="B229" s="60" t="s">
        <v>43</v>
      </c>
      <c r="C229" s="58"/>
      <c r="D229" s="61" t="s">
        <v>44</v>
      </c>
      <c r="E229" s="62">
        <v>15000</v>
      </c>
      <c r="F229" s="62">
        <v>7500</v>
      </c>
      <c r="G229" s="84">
        <f t="shared" si="10"/>
        <v>50</v>
      </c>
    </row>
    <row r="230" spans="1:7" ht="12.5" x14ac:dyDescent="0.25">
      <c r="A230" s="58"/>
      <c r="B230" s="58"/>
      <c r="C230" s="63" t="s">
        <v>45</v>
      </c>
      <c r="D230" s="64" t="s">
        <v>46</v>
      </c>
      <c r="E230" s="152">
        <v>15000</v>
      </c>
      <c r="F230" s="152">
        <v>7500</v>
      </c>
      <c r="G230" s="117">
        <f t="shared" si="10"/>
        <v>50</v>
      </c>
    </row>
    <row r="231" spans="1:7" ht="13.5" customHeight="1" x14ac:dyDescent="0.25">
      <c r="A231" s="58"/>
      <c r="B231" s="60" t="s">
        <v>47</v>
      </c>
      <c r="C231" s="58"/>
      <c r="D231" s="61" t="s">
        <v>48</v>
      </c>
      <c r="E231" s="62">
        <v>500</v>
      </c>
      <c r="F231" s="62">
        <v>0</v>
      </c>
      <c r="G231" s="62">
        <v>0</v>
      </c>
    </row>
    <row r="232" spans="1:7" ht="12.5" x14ac:dyDescent="0.25">
      <c r="A232" s="58"/>
      <c r="B232" s="58"/>
      <c r="C232" s="63" t="s">
        <v>49</v>
      </c>
      <c r="D232" s="64" t="s">
        <v>50</v>
      </c>
      <c r="E232" s="152">
        <v>500</v>
      </c>
      <c r="F232" s="152">
        <v>0</v>
      </c>
      <c r="G232" s="152">
        <v>0</v>
      </c>
    </row>
    <row r="233" spans="1:7" ht="13.5" customHeight="1" x14ac:dyDescent="0.25">
      <c r="A233" s="58"/>
      <c r="B233" s="60" t="s">
        <v>53</v>
      </c>
      <c r="C233" s="58"/>
      <c r="D233" s="61" t="s">
        <v>54</v>
      </c>
      <c r="E233" s="62">
        <f>+E234</f>
        <v>135300</v>
      </c>
      <c r="F233" s="62">
        <f>+F234</f>
        <v>135281.76</v>
      </c>
      <c r="G233" s="116">
        <f t="shared" si="10"/>
        <v>99.98651884700665</v>
      </c>
    </row>
    <row r="234" spans="1:7" ht="12.5" x14ac:dyDescent="0.25">
      <c r="A234" s="58"/>
      <c r="B234" s="58"/>
      <c r="C234" s="63" t="s">
        <v>55</v>
      </c>
      <c r="D234" s="64" t="s">
        <v>56</v>
      </c>
      <c r="E234" s="152">
        <f>+E235</f>
        <v>135300</v>
      </c>
      <c r="F234" s="152">
        <f>+F235</f>
        <v>135281.76</v>
      </c>
      <c r="G234" s="117">
        <f t="shared" si="10"/>
        <v>99.98651884700665</v>
      </c>
    </row>
    <row r="235" spans="1:7" ht="12.5" x14ac:dyDescent="0.25">
      <c r="A235" s="58"/>
      <c r="B235" s="58"/>
      <c r="C235" s="65" t="s">
        <v>57</v>
      </c>
      <c r="D235" s="64" t="s">
        <v>58</v>
      </c>
      <c r="E235" s="152">
        <f>130000+5300</f>
        <v>135300</v>
      </c>
      <c r="F235" s="152">
        <v>135281.76</v>
      </c>
      <c r="G235" s="117">
        <f t="shared" si="10"/>
        <v>99.98651884700665</v>
      </c>
    </row>
    <row r="236" spans="1:7" s="56" customFormat="1" ht="13.5" customHeight="1" x14ac:dyDescent="0.25">
      <c r="A236" s="153" t="s">
        <v>301</v>
      </c>
      <c r="B236" s="153" t="s">
        <v>228</v>
      </c>
      <c r="C236" s="153"/>
      <c r="D236" s="161" t="s">
        <v>0</v>
      </c>
      <c r="E236" s="194" t="s">
        <v>229</v>
      </c>
      <c r="F236" s="194" t="s">
        <v>230</v>
      </c>
      <c r="G236" s="188" t="s">
        <v>302</v>
      </c>
    </row>
    <row r="237" spans="1:7" s="56" customFormat="1" ht="15" customHeight="1" x14ac:dyDescent="0.25">
      <c r="A237" s="153"/>
      <c r="B237" s="153"/>
      <c r="C237" s="153"/>
      <c r="D237" s="161"/>
      <c r="E237" s="195"/>
      <c r="F237" s="195"/>
      <c r="G237" s="188"/>
    </row>
    <row r="238" spans="1:7" s="56" customFormat="1" ht="20.25" customHeight="1" x14ac:dyDescent="0.25">
      <c r="A238" s="153"/>
      <c r="B238" s="153"/>
      <c r="C238" s="153"/>
      <c r="D238" s="161"/>
      <c r="E238" s="196"/>
      <c r="F238" s="196"/>
      <c r="G238" s="188"/>
    </row>
    <row r="239" spans="1:7" ht="11.25" customHeight="1" x14ac:dyDescent="0.25">
      <c r="A239" s="58"/>
      <c r="B239" s="58"/>
      <c r="C239" s="58"/>
      <c r="D239" s="162" t="s">
        <v>60</v>
      </c>
      <c r="E239" s="173">
        <f>E242+E248+E252+E255+E262+E264+E266</f>
        <v>384900</v>
      </c>
      <c r="F239" s="173">
        <f>F242+F248+F252+F255+F262+F264+F266</f>
        <v>359893.92000000004</v>
      </c>
      <c r="G239" s="186">
        <f>F239/E239*100</f>
        <v>93.503226812159014</v>
      </c>
    </row>
    <row r="240" spans="1:7" ht="16.5" customHeight="1" x14ac:dyDescent="0.25">
      <c r="A240" s="57" t="s">
        <v>59</v>
      </c>
      <c r="B240" s="58"/>
      <c r="C240" s="58"/>
      <c r="D240" s="199"/>
      <c r="E240" s="269"/>
      <c r="F240" s="269"/>
      <c r="G240" s="197"/>
    </row>
    <row r="241" spans="1:7" ht="12.75" customHeight="1" x14ac:dyDescent="0.25">
      <c r="A241" s="58"/>
      <c r="B241" s="58"/>
      <c r="C241" s="58"/>
      <c r="D241" s="163"/>
      <c r="E241" s="174"/>
      <c r="F241" s="174"/>
      <c r="G241" s="187"/>
    </row>
    <row r="242" spans="1:7" ht="13.5" customHeight="1" x14ac:dyDescent="0.25">
      <c r="A242" s="58"/>
      <c r="B242" s="60" t="s">
        <v>3</v>
      </c>
      <c r="C242" s="58"/>
      <c r="D242" s="61" t="s">
        <v>4</v>
      </c>
      <c r="E242" s="62">
        <f>SUM(E243:E247)</f>
        <v>75800</v>
      </c>
      <c r="F242" s="62">
        <f>SUM(F243:F247)</f>
        <v>68558.59</v>
      </c>
      <c r="G242" s="116">
        <f t="shared" ref="G242:G270" si="11">F242/E242*100</f>
        <v>90.446688654353551</v>
      </c>
    </row>
    <row r="243" spans="1:7" ht="12.5" x14ac:dyDescent="0.25">
      <c r="A243" s="58"/>
      <c r="B243" s="58"/>
      <c r="C243" s="63" t="s">
        <v>5</v>
      </c>
      <c r="D243" s="64" t="s">
        <v>6</v>
      </c>
      <c r="E243" s="95">
        <v>71500</v>
      </c>
      <c r="F243" s="95">
        <v>68119.98</v>
      </c>
      <c r="G243" s="117">
        <f t="shared" si="11"/>
        <v>95.272699300699287</v>
      </c>
    </row>
    <row r="244" spans="1:7" ht="12.5" x14ac:dyDescent="0.25">
      <c r="A244" s="58"/>
      <c r="B244" s="58"/>
      <c r="C244" s="63" t="s">
        <v>7</v>
      </c>
      <c r="D244" s="64" t="s">
        <v>8</v>
      </c>
      <c r="E244" s="95">
        <v>580</v>
      </c>
      <c r="F244" s="95">
        <v>0</v>
      </c>
      <c r="G244" s="95">
        <v>0</v>
      </c>
    </row>
    <row r="245" spans="1:7" ht="12.5" x14ac:dyDescent="0.25">
      <c r="A245" s="58"/>
      <c r="B245" s="58"/>
      <c r="C245" s="63" t="s">
        <v>9</v>
      </c>
      <c r="D245" s="64" t="s">
        <v>10</v>
      </c>
      <c r="E245" s="95">
        <v>2300</v>
      </c>
      <c r="F245" s="95">
        <v>0</v>
      </c>
      <c r="G245" s="95">
        <v>0</v>
      </c>
    </row>
    <row r="246" spans="1:7" ht="12.5" x14ac:dyDescent="0.25">
      <c r="A246" s="58"/>
      <c r="B246" s="58"/>
      <c r="C246" s="63" t="s">
        <v>11</v>
      </c>
      <c r="D246" s="64" t="s">
        <v>12</v>
      </c>
      <c r="E246" s="95">
        <v>940</v>
      </c>
      <c r="F246" s="95">
        <v>0</v>
      </c>
      <c r="G246" s="95">
        <v>0</v>
      </c>
    </row>
    <row r="247" spans="1:7" ht="12.5" x14ac:dyDescent="0.25">
      <c r="A247" s="58"/>
      <c r="B247" s="58"/>
      <c r="C247" s="63" t="s">
        <v>13</v>
      </c>
      <c r="D247" s="64" t="s">
        <v>14</v>
      </c>
      <c r="E247" s="95">
        <v>480</v>
      </c>
      <c r="F247" s="95">
        <v>438.61</v>
      </c>
      <c r="G247" s="117">
        <f t="shared" si="11"/>
        <v>91.377083333333331</v>
      </c>
    </row>
    <row r="248" spans="1:7" ht="13.5" customHeight="1" x14ac:dyDescent="0.25">
      <c r="A248" s="58"/>
      <c r="B248" s="60" t="s">
        <v>15</v>
      </c>
      <c r="C248" s="58"/>
      <c r="D248" s="61" t="s">
        <v>16</v>
      </c>
      <c r="E248" s="96">
        <f>+E249+E250</f>
        <v>66000</v>
      </c>
      <c r="F248" s="96">
        <f>+F249+F250</f>
        <v>63301</v>
      </c>
      <c r="G248" s="116">
        <f t="shared" si="11"/>
        <v>95.910606060606057</v>
      </c>
    </row>
    <row r="249" spans="1:7" ht="12.5" x14ac:dyDescent="0.25">
      <c r="A249" s="58"/>
      <c r="B249" s="58"/>
      <c r="C249" s="63" t="s">
        <v>61</v>
      </c>
      <c r="D249" s="64" t="s">
        <v>62</v>
      </c>
      <c r="E249" s="95">
        <v>61000</v>
      </c>
      <c r="F249" s="95">
        <v>60403</v>
      </c>
      <c r="G249" s="117">
        <f t="shared" si="11"/>
        <v>99.021311475409831</v>
      </c>
    </row>
    <row r="250" spans="1:7" ht="12.5" x14ac:dyDescent="0.25">
      <c r="A250" s="58"/>
      <c r="B250" s="58"/>
      <c r="C250" s="63" t="s">
        <v>17</v>
      </c>
      <c r="D250" s="64" t="s">
        <v>18</v>
      </c>
      <c r="E250" s="95">
        <f>+E251</f>
        <v>5000</v>
      </c>
      <c r="F250" s="95">
        <v>2898</v>
      </c>
      <c r="G250" s="117">
        <f t="shared" si="11"/>
        <v>57.96</v>
      </c>
    </row>
    <row r="251" spans="1:7" ht="14.25" customHeight="1" x14ac:dyDescent="0.25">
      <c r="A251" s="58"/>
      <c r="B251" s="58"/>
      <c r="C251" s="65" t="s">
        <v>63</v>
      </c>
      <c r="D251" s="64" t="s">
        <v>64</v>
      </c>
      <c r="E251" s="95">
        <v>5000</v>
      </c>
      <c r="F251" s="95">
        <v>990</v>
      </c>
      <c r="G251" s="117">
        <f t="shared" si="11"/>
        <v>19.8</v>
      </c>
    </row>
    <row r="252" spans="1:7" ht="13.5" customHeight="1" x14ac:dyDescent="0.25">
      <c r="A252" s="58"/>
      <c r="B252" s="60" t="s">
        <v>19</v>
      </c>
      <c r="C252" s="58"/>
      <c r="D252" s="61" t="s">
        <v>20</v>
      </c>
      <c r="E252" s="96">
        <f>+E253</f>
        <v>500</v>
      </c>
      <c r="F252" s="96">
        <f>+F253</f>
        <v>4.9000000000000004</v>
      </c>
      <c r="G252" s="116">
        <f t="shared" si="11"/>
        <v>0.98000000000000009</v>
      </c>
    </row>
    <row r="253" spans="1:7" ht="12.5" x14ac:dyDescent="0.25">
      <c r="A253" s="58"/>
      <c r="B253" s="58"/>
      <c r="C253" s="63" t="s">
        <v>23</v>
      </c>
      <c r="D253" s="64" t="s">
        <v>24</v>
      </c>
      <c r="E253" s="95">
        <f>+E254</f>
        <v>500</v>
      </c>
      <c r="F253" s="95">
        <f>+F254</f>
        <v>4.9000000000000004</v>
      </c>
      <c r="G253" s="117">
        <f t="shared" si="11"/>
        <v>0.98000000000000009</v>
      </c>
    </row>
    <row r="254" spans="1:7" ht="12.5" x14ac:dyDescent="0.25">
      <c r="A254" s="58"/>
      <c r="B254" s="58"/>
      <c r="C254" s="65">
        <v>41331</v>
      </c>
      <c r="D254" s="64" t="s">
        <v>367</v>
      </c>
      <c r="E254" s="95">
        <v>500</v>
      </c>
      <c r="F254" s="95">
        <v>4.9000000000000004</v>
      </c>
      <c r="G254" s="117">
        <f t="shared" si="11"/>
        <v>0.98000000000000009</v>
      </c>
    </row>
    <row r="255" spans="1:7" ht="13.5" customHeight="1" x14ac:dyDescent="0.25">
      <c r="A255" s="58"/>
      <c r="B255" s="60" t="s">
        <v>27</v>
      </c>
      <c r="C255" s="58"/>
      <c r="D255" s="61" t="s">
        <v>28</v>
      </c>
      <c r="E255" s="96">
        <f>+E256+E257+E258+E259</f>
        <v>9000</v>
      </c>
      <c r="F255" s="96">
        <f>+F256+F257+F258+F259</f>
        <v>4387.54</v>
      </c>
      <c r="G255" s="116">
        <f t="shared" si="11"/>
        <v>48.750444444444447</v>
      </c>
    </row>
    <row r="256" spans="1:7" ht="12.5" x14ac:dyDescent="0.25">
      <c r="A256" s="58"/>
      <c r="B256" s="58"/>
      <c r="C256" s="63" t="s">
        <v>29</v>
      </c>
      <c r="D256" s="64" t="s">
        <v>30</v>
      </c>
      <c r="E256" s="95">
        <v>3500</v>
      </c>
      <c r="F256" s="95">
        <v>2303.1999999999998</v>
      </c>
      <c r="G256" s="117">
        <f t="shared" si="11"/>
        <v>65.805714285714274</v>
      </c>
    </row>
    <row r="257" spans="1:7" ht="12.5" x14ac:dyDescent="0.25">
      <c r="A257" s="58"/>
      <c r="B257" s="58"/>
      <c r="C257" s="63">
        <v>4142</v>
      </c>
      <c r="D257" s="64" t="s">
        <v>32</v>
      </c>
      <c r="E257" s="95">
        <v>500</v>
      </c>
      <c r="F257" s="95">
        <v>0</v>
      </c>
      <c r="G257" s="95">
        <v>0</v>
      </c>
    </row>
    <row r="258" spans="1:7" ht="12.5" x14ac:dyDescent="0.25">
      <c r="A258" s="58"/>
      <c r="B258" s="58"/>
      <c r="C258" s="63">
        <v>4148</v>
      </c>
      <c r="D258" s="64" t="s">
        <v>372</v>
      </c>
      <c r="E258" s="95">
        <v>1000</v>
      </c>
      <c r="F258" s="95">
        <v>0</v>
      </c>
      <c r="G258" s="95">
        <v>0</v>
      </c>
    </row>
    <row r="259" spans="1:7" ht="12.5" x14ac:dyDescent="0.25">
      <c r="A259" s="58"/>
      <c r="B259" s="58"/>
      <c r="C259" s="63" t="s">
        <v>37</v>
      </c>
      <c r="D259" s="64" t="s">
        <v>38</v>
      </c>
      <c r="E259" s="95">
        <f>+E260+E261</f>
        <v>4000</v>
      </c>
      <c r="F259" s="95">
        <f>+F260+F261</f>
        <v>2084.34</v>
      </c>
      <c r="G259" s="117">
        <f t="shared" si="11"/>
        <v>52.108499999999999</v>
      </c>
    </row>
    <row r="260" spans="1:7" ht="12.5" x14ac:dyDescent="0.25">
      <c r="A260" s="58"/>
      <c r="B260" s="58"/>
      <c r="C260" s="65">
        <v>41491</v>
      </c>
      <c r="D260" s="64" t="s">
        <v>373</v>
      </c>
      <c r="E260" s="95">
        <v>3000</v>
      </c>
      <c r="F260" s="95">
        <v>2084.34</v>
      </c>
      <c r="G260" s="117">
        <f t="shared" si="11"/>
        <v>69.478000000000009</v>
      </c>
    </row>
    <row r="261" spans="1:7" ht="12.5" x14ac:dyDescent="0.25">
      <c r="A261" s="58"/>
      <c r="B261" s="58"/>
      <c r="C261" s="65">
        <v>41499</v>
      </c>
      <c r="D261" s="64" t="s">
        <v>38</v>
      </c>
      <c r="E261" s="95">
        <v>1000</v>
      </c>
      <c r="F261" s="95">
        <v>0</v>
      </c>
      <c r="G261" s="95">
        <v>0</v>
      </c>
    </row>
    <row r="262" spans="1:7" ht="30" customHeight="1" x14ac:dyDescent="0.25">
      <c r="A262" s="58"/>
      <c r="B262" s="60" t="s">
        <v>43</v>
      </c>
      <c r="C262" s="58"/>
      <c r="D262" s="61" t="s">
        <v>44</v>
      </c>
      <c r="E262" s="96">
        <f>+E263</f>
        <v>88000</v>
      </c>
      <c r="F262" s="96">
        <f>+F263</f>
        <v>78749.36</v>
      </c>
      <c r="G262" s="116">
        <f t="shared" si="11"/>
        <v>89.487909090909085</v>
      </c>
    </row>
    <row r="263" spans="1:7" ht="15" customHeight="1" x14ac:dyDescent="0.25">
      <c r="A263" s="58"/>
      <c r="B263" s="58"/>
      <c r="C263" s="63" t="s">
        <v>65</v>
      </c>
      <c r="D263" s="64" t="s">
        <v>66</v>
      </c>
      <c r="E263" s="95">
        <f>88000</f>
        <v>88000</v>
      </c>
      <c r="F263" s="95">
        <v>78749.36</v>
      </c>
      <c r="G263" s="117">
        <f t="shared" si="11"/>
        <v>89.487909090909085</v>
      </c>
    </row>
    <row r="264" spans="1:7" ht="13.5" customHeight="1" x14ac:dyDescent="0.25">
      <c r="A264" s="58"/>
      <c r="B264" s="60" t="s">
        <v>47</v>
      </c>
      <c r="C264" s="58"/>
      <c r="D264" s="61" t="s">
        <v>48</v>
      </c>
      <c r="E264" s="96">
        <f>+E265</f>
        <v>500</v>
      </c>
      <c r="F264" s="96">
        <f>+F265</f>
        <v>0</v>
      </c>
      <c r="G264" s="96">
        <v>0</v>
      </c>
    </row>
    <row r="265" spans="1:7" ht="12.5" x14ac:dyDescent="0.25">
      <c r="A265" s="58"/>
      <c r="B265" s="58"/>
      <c r="C265" s="63" t="s">
        <v>49</v>
      </c>
      <c r="D265" s="64" t="s">
        <v>50</v>
      </c>
      <c r="E265" s="95">
        <v>500</v>
      </c>
      <c r="F265" s="95">
        <v>0</v>
      </c>
      <c r="G265" s="95">
        <v>0</v>
      </c>
    </row>
    <row r="266" spans="1:7" ht="13.5" customHeight="1" x14ac:dyDescent="0.25">
      <c r="A266" s="58"/>
      <c r="B266" s="60" t="s">
        <v>53</v>
      </c>
      <c r="C266" s="58"/>
      <c r="D266" s="61" t="s">
        <v>54</v>
      </c>
      <c r="E266" s="96">
        <f>+E267</f>
        <v>145100</v>
      </c>
      <c r="F266" s="96">
        <f>+F267</f>
        <v>144892.53</v>
      </c>
      <c r="G266" s="116">
        <f t="shared" si="11"/>
        <v>99.857015851137149</v>
      </c>
    </row>
    <row r="267" spans="1:7" ht="12.5" x14ac:dyDescent="0.25">
      <c r="A267" s="58"/>
      <c r="B267" s="58"/>
      <c r="C267" s="63" t="s">
        <v>55</v>
      </c>
      <c r="D267" s="64" t="s">
        <v>56</v>
      </c>
      <c r="E267" s="95">
        <f>+E268+E269+E270</f>
        <v>145100</v>
      </c>
      <c r="F267" s="95">
        <f>+F268+F269+F270</f>
        <v>144892.53</v>
      </c>
      <c r="G267" s="117">
        <f t="shared" si="11"/>
        <v>99.857015851137149</v>
      </c>
    </row>
    <row r="268" spans="1:7" ht="12.5" x14ac:dyDescent="0.25">
      <c r="A268" s="58"/>
      <c r="B268" s="58"/>
      <c r="C268" s="65" t="s">
        <v>67</v>
      </c>
      <c r="D268" s="64" t="s">
        <v>68</v>
      </c>
      <c r="E268" s="95">
        <v>25800</v>
      </c>
      <c r="F268" s="95">
        <v>25800</v>
      </c>
      <c r="G268" s="117">
        <f t="shared" si="11"/>
        <v>100</v>
      </c>
    </row>
    <row r="269" spans="1:7" ht="22" x14ac:dyDescent="0.25">
      <c r="A269" s="58"/>
      <c r="B269" s="58"/>
      <c r="C269" s="65" t="s">
        <v>69</v>
      </c>
      <c r="D269" s="64" t="s">
        <v>70</v>
      </c>
      <c r="E269" s="95">
        <f>62000+7800</f>
        <v>69800</v>
      </c>
      <c r="F269" s="95">
        <v>69747.009999999995</v>
      </c>
      <c r="G269" s="117">
        <f t="shared" si="11"/>
        <v>99.924083094555868</v>
      </c>
    </row>
    <row r="270" spans="1:7" ht="12.5" x14ac:dyDescent="0.25">
      <c r="A270" s="58"/>
      <c r="B270" s="58"/>
      <c r="C270" s="65" t="s">
        <v>57</v>
      </c>
      <c r="D270" s="64" t="s">
        <v>58</v>
      </c>
      <c r="E270" s="95">
        <f>45000+4500</f>
        <v>49500</v>
      </c>
      <c r="F270" s="95">
        <v>49345.52</v>
      </c>
      <c r="G270" s="117">
        <f t="shared" si="11"/>
        <v>99.687919191919178</v>
      </c>
    </row>
    <row r="271" spans="1:7" ht="15.75" customHeight="1" x14ac:dyDescent="0.25">
      <c r="A271" s="153" t="s">
        <v>301</v>
      </c>
      <c r="B271" s="153" t="s">
        <v>228</v>
      </c>
      <c r="C271" s="153"/>
      <c r="D271" s="161" t="s">
        <v>0</v>
      </c>
      <c r="E271" s="153" t="s">
        <v>229</v>
      </c>
      <c r="F271" s="153" t="s">
        <v>230</v>
      </c>
      <c r="G271" s="188" t="s">
        <v>302</v>
      </c>
    </row>
    <row r="272" spans="1:7" ht="12.5" x14ac:dyDescent="0.25">
      <c r="A272" s="153"/>
      <c r="B272" s="153"/>
      <c r="C272" s="153"/>
      <c r="D272" s="161"/>
      <c r="E272" s="153"/>
      <c r="F272" s="153"/>
      <c r="G272" s="188"/>
    </row>
    <row r="273" spans="1:7" ht="17.25" customHeight="1" x14ac:dyDescent="0.25">
      <c r="A273" s="153"/>
      <c r="B273" s="153"/>
      <c r="C273" s="153"/>
      <c r="D273" s="161"/>
      <c r="E273" s="153"/>
      <c r="F273" s="153"/>
      <c r="G273" s="188"/>
    </row>
    <row r="274" spans="1:7" ht="16.5" customHeight="1" x14ac:dyDescent="0.25">
      <c r="A274" s="57" t="s">
        <v>71</v>
      </c>
      <c r="B274" s="58"/>
      <c r="C274" s="58"/>
      <c r="D274" s="162" t="s">
        <v>72</v>
      </c>
      <c r="E274" s="173">
        <f>E276+E282+E285+E288+E290+E292</f>
        <v>48930</v>
      </c>
      <c r="F274" s="173">
        <f>F276+F282+F285+F288+F290+F292</f>
        <v>43213.1</v>
      </c>
      <c r="G274" s="186">
        <f>F274/E274*100</f>
        <v>88.316165951359082</v>
      </c>
    </row>
    <row r="275" spans="1:7" ht="12" customHeight="1" x14ac:dyDescent="0.25">
      <c r="A275" s="57"/>
      <c r="B275" s="58"/>
      <c r="C275" s="58"/>
      <c r="D275" s="163"/>
      <c r="E275" s="174"/>
      <c r="F275" s="174"/>
      <c r="G275" s="187"/>
    </row>
    <row r="276" spans="1:7" ht="13.5" customHeight="1" x14ac:dyDescent="0.25">
      <c r="A276" s="58"/>
      <c r="B276" s="60" t="s">
        <v>3</v>
      </c>
      <c r="C276" s="58"/>
      <c r="D276" s="61" t="s">
        <v>4</v>
      </c>
      <c r="E276" s="62">
        <f>SUM(E277:E281)</f>
        <v>23380</v>
      </c>
      <c r="F276" s="62">
        <f>SUM(F277:F281)</f>
        <v>21242.14</v>
      </c>
      <c r="G276" s="116">
        <f t="shared" ref="G276:G294" si="12">F276/E276*100</f>
        <v>90.85603079555176</v>
      </c>
    </row>
    <row r="277" spans="1:7" ht="12.5" x14ac:dyDescent="0.25">
      <c r="A277" s="58"/>
      <c r="B277" s="58"/>
      <c r="C277" s="63" t="s">
        <v>5</v>
      </c>
      <c r="D277" s="64" t="s">
        <v>6</v>
      </c>
      <c r="E277" s="95">
        <v>22000</v>
      </c>
      <c r="F277" s="95">
        <v>21077.66</v>
      </c>
      <c r="G277" s="117">
        <f t="shared" si="12"/>
        <v>95.807545454545448</v>
      </c>
    </row>
    <row r="278" spans="1:7" ht="12.5" x14ac:dyDescent="0.25">
      <c r="A278" s="58"/>
      <c r="B278" s="58"/>
      <c r="C278" s="63" t="s">
        <v>7</v>
      </c>
      <c r="D278" s="64" t="s">
        <v>8</v>
      </c>
      <c r="E278" s="95">
        <v>200</v>
      </c>
      <c r="F278" s="95">
        <v>0</v>
      </c>
      <c r="G278" s="95">
        <v>0</v>
      </c>
    </row>
    <row r="279" spans="1:7" ht="12.5" x14ac:dyDescent="0.25">
      <c r="A279" s="58"/>
      <c r="B279" s="58"/>
      <c r="C279" s="63" t="s">
        <v>9</v>
      </c>
      <c r="D279" s="64" t="s">
        <v>10</v>
      </c>
      <c r="E279" s="95">
        <v>680</v>
      </c>
      <c r="F279" s="95">
        <v>0</v>
      </c>
      <c r="G279" s="95">
        <v>0</v>
      </c>
    </row>
    <row r="280" spans="1:7" ht="12.5" x14ac:dyDescent="0.25">
      <c r="A280" s="58"/>
      <c r="B280" s="58"/>
      <c r="C280" s="63" t="s">
        <v>11</v>
      </c>
      <c r="D280" s="64" t="s">
        <v>12</v>
      </c>
      <c r="E280" s="95">
        <v>270</v>
      </c>
      <c r="F280" s="95">
        <v>0</v>
      </c>
      <c r="G280" s="95">
        <v>0</v>
      </c>
    </row>
    <row r="281" spans="1:7" ht="12.5" x14ac:dyDescent="0.25">
      <c r="A281" s="58"/>
      <c r="B281" s="58"/>
      <c r="C281" s="63" t="s">
        <v>13</v>
      </c>
      <c r="D281" s="64" t="s">
        <v>14</v>
      </c>
      <c r="E281" s="95">
        <v>230</v>
      </c>
      <c r="F281" s="95">
        <v>164.48</v>
      </c>
      <c r="G281" s="117">
        <f t="shared" si="12"/>
        <v>71.513043478260869</v>
      </c>
    </row>
    <row r="282" spans="1:7" ht="13.5" customHeight="1" x14ac:dyDescent="0.25">
      <c r="A282" s="58"/>
      <c r="B282" s="60" t="s">
        <v>15</v>
      </c>
      <c r="C282" s="58"/>
      <c r="D282" s="61" t="s">
        <v>16</v>
      </c>
      <c r="E282" s="96">
        <f>+E283+E284</f>
        <v>11800</v>
      </c>
      <c r="F282" s="96">
        <f>+F283+F284</f>
        <v>10818</v>
      </c>
      <c r="G282" s="116">
        <f t="shared" si="12"/>
        <v>91.677966101694921</v>
      </c>
    </row>
    <row r="283" spans="1:7" ht="13.5" customHeight="1" x14ac:dyDescent="0.25">
      <c r="A283" s="58"/>
      <c r="B283" s="60"/>
      <c r="C283" s="63">
        <v>4125</v>
      </c>
      <c r="D283" s="64" t="s">
        <v>361</v>
      </c>
      <c r="E283" s="95">
        <v>10800</v>
      </c>
      <c r="F283" s="95">
        <v>10710</v>
      </c>
      <c r="G283" s="117">
        <f t="shared" si="12"/>
        <v>99.166666666666671</v>
      </c>
    </row>
    <row r="284" spans="1:7" ht="12.5" x14ac:dyDescent="0.25">
      <c r="A284" s="58"/>
      <c r="B284" s="58"/>
      <c r="C284" s="63" t="s">
        <v>17</v>
      </c>
      <c r="D284" s="64" t="s">
        <v>18</v>
      </c>
      <c r="E284" s="95">
        <v>1000</v>
      </c>
      <c r="F284" s="95">
        <v>108</v>
      </c>
      <c r="G284" s="117">
        <f t="shared" si="12"/>
        <v>10.8</v>
      </c>
    </row>
    <row r="285" spans="1:7" ht="12.5" x14ac:dyDescent="0.25">
      <c r="A285" s="58"/>
      <c r="B285" s="60">
        <v>414</v>
      </c>
      <c r="C285" s="63"/>
      <c r="D285" s="61" t="s">
        <v>28</v>
      </c>
      <c r="E285" s="96">
        <f>+E286+E287</f>
        <v>250</v>
      </c>
      <c r="F285" s="96">
        <f>+F286+F287</f>
        <v>54</v>
      </c>
      <c r="G285" s="116">
        <f t="shared" si="12"/>
        <v>21.6</v>
      </c>
    </row>
    <row r="286" spans="1:7" ht="12.5" x14ac:dyDescent="0.25">
      <c r="A286" s="58"/>
      <c r="B286" s="58"/>
      <c r="C286" s="63" t="s">
        <v>29</v>
      </c>
      <c r="D286" s="64" t="s">
        <v>30</v>
      </c>
      <c r="E286" s="95">
        <v>150</v>
      </c>
      <c r="F286" s="95">
        <v>54</v>
      </c>
      <c r="G286" s="117">
        <f t="shared" si="12"/>
        <v>36</v>
      </c>
    </row>
    <row r="287" spans="1:7" ht="12.5" x14ac:dyDescent="0.25">
      <c r="A287" s="58"/>
      <c r="B287" s="58"/>
      <c r="C287" s="63" t="s">
        <v>37</v>
      </c>
      <c r="D287" s="64" t="s">
        <v>38</v>
      </c>
      <c r="E287" s="95">
        <v>100</v>
      </c>
      <c r="F287" s="95">
        <v>0</v>
      </c>
      <c r="G287" s="95">
        <v>0</v>
      </c>
    </row>
    <row r="288" spans="1:7" ht="13.5" customHeight="1" x14ac:dyDescent="0.25">
      <c r="A288" s="58"/>
      <c r="B288" s="60" t="s">
        <v>73</v>
      </c>
      <c r="C288" s="58"/>
      <c r="D288" s="61" t="s">
        <v>74</v>
      </c>
      <c r="E288" s="96">
        <f>+E289</f>
        <v>1000</v>
      </c>
      <c r="F288" s="96">
        <f>+F289</f>
        <v>0</v>
      </c>
      <c r="G288" s="96">
        <v>0</v>
      </c>
    </row>
    <row r="289" spans="1:7" ht="12.5" x14ac:dyDescent="0.25">
      <c r="A289" s="58"/>
      <c r="B289" s="58"/>
      <c r="C289" s="63" t="s">
        <v>75</v>
      </c>
      <c r="D289" s="64" t="s">
        <v>76</v>
      </c>
      <c r="E289" s="95">
        <v>1000</v>
      </c>
      <c r="F289" s="95">
        <v>0</v>
      </c>
      <c r="G289" s="95">
        <v>0</v>
      </c>
    </row>
    <row r="290" spans="1:7" ht="13.5" customHeight="1" x14ac:dyDescent="0.25">
      <c r="A290" s="58"/>
      <c r="B290" s="60" t="s">
        <v>47</v>
      </c>
      <c r="C290" s="58"/>
      <c r="D290" s="61" t="s">
        <v>48</v>
      </c>
      <c r="E290" s="96">
        <f>+E291</f>
        <v>500</v>
      </c>
      <c r="F290" s="96">
        <f>+F291</f>
        <v>0</v>
      </c>
      <c r="G290" s="96">
        <v>0</v>
      </c>
    </row>
    <row r="291" spans="1:7" ht="12.5" x14ac:dyDescent="0.25">
      <c r="A291" s="58"/>
      <c r="B291" s="58"/>
      <c r="C291" s="63" t="s">
        <v>49</v>
      </c>
      <c r="D291" s="64" t="s">
        <v>50</v>
      </c>
      <c r="E291" s="95">
        <v>500</v>
      </c>
      <c r="F291" s="95">
        <v>0</v>
      </c>
      <c r="G291" s="95">
        <v>0</v>
      </c>
    </row>
    <row r="292" spans="1:7" ht="13.5" customHeight="1" x14ac:dyDescent="0.25">
      <c r="A292" s="58"/>
      <c r="B292" s="60" t="s">
        <v>53</v>
      </c>
      <c r="C292" s="58"/>
      <c r="D292" s="61" t="s">
        <v>54</v>
      </c>
      <c r="E292" s="96">
        <f>+E293</f>
        <v>12000</v>
      </c>
      <c r="F292" s="96">
        <f>+F293</f>
        <v>11098.96</v>
      </c>
      <c r="G292" s="116">
        <f t="shared" si="12"/>
        <v>92.49133333333333</v>
      </c>
    </row>
    <row r="293" spans="1:7" ht="12.5" x14ac:dyDescent="0.25">
      <c r="A293" s="58"/>
      <c r="B293" s="58"/>
      <c r="C293" s="63" t="s">
        <v>55</v>
      </c>
      <c r="D293" s="64" t="s">
        <v>56</v>
      </c>
      <c r="E293" s="95">
        <f>+E294</f>
        <v>12000</v>
      </c>
      <c r="F293" s="95">
        <f>+F294</f>
        <v>11098.96</v>
      </c>
      <c r="G293" s="117">
        <f t="shared" si="12"/>
        <v>92.49133333333333</v>
      </c>
    </row>
    <row r="294" spans="1:7" ht="12.5" x14ac:dyDescent="0.25">
      <c r="A294" s="58"/>
      <c r="B294" s="58"/>
      <c r="C294" s="65" t="s">
        <v>57</v>
      </c>
      <c r="D294" s="64" t="s">
        <v>58</v>
      </c>
      <c r="E294" s="95">
        <v>12000</v>
      </c>
      <c r="F294" s="95">
        <v>11098.96</v>
      </c>
      <c r="G294" s="117">
        <f t="shared" si="12"/>
        <v>92.49133333333333</v>
      </c>
    </row>
    <row r="295" spans="1:7" ht="12.75" customHeight="1" x14ac:dyDescent="0.25">
      <c r="A295" s="153" t="s">
        <v>301</v>
      </c>
      <c r="B295" s="153" t="s">
        <v>228</v>
      </c>
      <c r="C295" s="153"/>
      <c r="D295" s="189" t="s">
        <v>0</v>
      </c>
      <c r="E295" s="194" t="s">
        <v>229</v>
      </c>
      <c r="F295" s="194" t="s">
        <v>230</v>
      </c>
      <c r="G295" s="170" t="s">
        <v>302</v>
      </c>
    </row>
    <row r="296" spans="1:7" ht="12.5" x14ac:dyDescent="0.25">
      <c r="A296" s="153"/>
      <c r="B296" s="153"/>
      <c r="C296" s="153"/>
      <c r="D296" s="190"/>
      <c r="E296" s="195"/>
      <c r="F296" s="195"/>
      <c r="G296" s="171"/>
    </row>
    <row r="297" spans="1:7" ht="35.25" customHeight="1" x14ac:dyDescent="0.25">
      <c r="A297" s="153"/>
      <c r="B297" s="153"/>
      <c r="C297" s="153"/>
      <c r="D297" s="191"/>
      <c r="E297" s="196"/>
      <c r="F297" s="196"/>
      <c r="G297" s="172"/>
    </row>
    <row r="298" spans="1:7" ht="29.25" customHeight="1" x14ac:dyDescent="0.25">
      <c r="A298" s="57" t="s">
        <v>86</v>
      </c>
      <c r="B298" s="58"/>
      <c r="C298" s="58"/>
      <c r="D298" s="162" t="s">
        <v>87</v>
      </c>
      <c r="E298" s="173">
        <f>E300+E306+E310+E313+E320+E338+E343+E345</f>
        <v>1963680</v>
      </c>
      <c r="F298" s="173">
        <f>F300+F306+F310+F313+F320+F338+F343+F345</f>
        <v>1831354.54</v>
      </c>
      <c r="G298" s="186">
        <f>F298/E298*100</f>
        <v>93.261353173633182</v>
      </c>
    </row>
    <row r="299" spans="1:7" ht="9.75" customHeight="1" x14ac:dyDescent="0.25">
      <c r="A299" s="57"/>
      <c r="B299" s="58"/>
      <c r="C299" s="58"/>
      <c r="D299" s="163"/>
      <c r="E299" s="174"/>
      <c r="F299" s="174"/>
      <c r="G299" s="187"/>
    </row>
    <row r="300" spans="1:7" ht="11.25" customHeight="1" x14ac:dyDescent="0.25">
      <c r="A300" s="58"/>
      <c r="B300" s="60" t="s">
        <v>3</v>
      </c>
      <c r="C300" s="58"/>
      <c r="D300" s="61" t="s">
        <v>4</v>
      </c>
      <c r="E300" s="62">
        <f>SUM(E301:E305)</f>
        <v>258480</v>
      </c>
      <c r="F300" s="62">
        <f>SUM(F301:F305)</f>
        <v>246105.86000000002</v>
      </c>
      <c r="G300" s="116">
        <f t="shared" ref="G300:G347" si="13">F300/E300*100</f>
        <v>95.212728257505418</v>
      </c>
    </row>
    <row r="301" spans="1:7" ht="12.5" x14ac:dyDescent="0.25">
      <c r="A301" s="58"/>
      <c r="B301" s="58"/>
      <c r="C301" s="63" t="s">
        <v>5</v>
      </c>
      <c r="D301" s="64" t="s">
        <v>6</v>
      </c>
      <c r="E301" s="95">
        <f>231000+13800</f>
        <v>244800</v>
      </c>
      <c r="F301" s="95">
        <v>244777.01</v>
      </c>
      <c r="G301" s="117">
        <f t="shared" si="13"/>
        <v>99.990608660130718</v>
      </c>
    </row>
    <row r="302" spans="1:7" ht="12.5" x14ac:dyDescent="0.25">
      <c r="A302" s="58"/>
      <c r="B302" s="58"/>
      <c r="C302" s="63" t="s">
        <v>7</v>
      </c>
      <c r="D302" s="64" t="s">
        <v>8</v>
      </c>
      <c r="E302" s="95">
        <v>1400</v>
      </c>
      <c r="F302" s="95">
        <v>21.57</v>
      </c>
      <c r="G302" s="117">
        <f t="shared" si="13"/>
        <v>1.5407142857142857</v>
      </c>
    </row>
    <row r="303" spans="1:7" ht="12.5" x14ac:dyDescent="0.25">
      <c r="A303" s="58"/>
      <c r="B303" s="58"/>
      <c r="C303" s="63" t="s">
        <v>9</v>
      </c>
      <c r="D303" s="64" t="s">
        <v>10</v>
      </c>
      <c r="E303" s="95">
        <v>7800</v>
      </c>
      <c r="F303" s="95">
        <v>228.87</v>
      </c>
      <c r="G303" s="117">
        <f t="shared" si="13"/>
        <v>2.9342307692307692</v>
      </c>
    </row>
    <row r="304" spans="1:7" ht="12.5" x14ac:dyDescent="0.25">
      <c r="A304" s="58"/>
      <c r="B304" s="58"/>
      <c r="C304" s="63" t="s">
        <v>11</v>
      </c>
      <c r="D304" s="64" t="s">
        <v>12</v>
      </c>
      <c r="E304" s="95">
        <v>3400</v>
      </c>
      <c r="F304" s="95">
        <v>91.54</v>
      </c>
      <c r="G304" s="117">
        <f t="shared" si="13"/>
        <v>2.6923529411764706</v>
      </c>
    </row>
    <row r="305" spans="1:13" ht="12.5" x14ac:dyDescent="0.25">
      <c r="A305" s="58"/>
      <c r="B305" s="58"/>
      <c r="C305" s="63" t="s">
        <v>13</v>
      </c>
      <c r="D305" s="64" t="s">
        <v>14</v>
      </c>
      <c r="E305" s="95">
        <v>1080</v>
      </c>
      <c r="F305" s="95">
        <v>986.87</v>
      </c>
      <c r="G305" s="117">
        <f t="shared" si="13"/>
        <v>91.376851851851853</v>
      </c>
    </row>
    <row r="306" spans="1:13" ht="13.5" customHeight="1" x14ac:dyDescent="0.25">
      <c r="A306" s="58"/>
      <c r="B306" s="60" t="s">
        <v>15</v>
      </c>
      <c r="C306" s="58"/>
      <c r="D306" s="61" t="s">
        <v>16</v>
      </c>
      <c r="E306" s="96">
        <v>12000</v>
      </c>
      <c r="F306" s="96">
        <v>10968</v>
      </c>
      <c r="G306" s="116">
        <f t="shared" si="13"/>
        <v>91.4</v>
      </c>
    </row>
    <row r="307" spans="1:13" ht="12.5" x14ac:dyDescent="0.25">
      <c r="A307" s="58"/>
      <c r="B307" s="58"/>
      <c r="C307" s="63" t="s">
        <v>17</v>
      </c>
      <c r="D307" s="64" t="s">
        <v>18</v>
      </c>
      <c r="E307" s="95">
        <v>12000</v>
      </c>
      <c r="F307" s="95">
        <v>10968</v>
      </c>
      <c r="G307" s="117">
        <f t="shared" si="13"/>
        <v>91.4</v>
      </c>
    </row>
    <row r="308" spans="1:13" ht="12.5" x14ac:dyDescent="0.25">
      <c r="A308" s="58"/>
      <c r="B308" s="58"/>
      <c r="C308" s="65">
        <v>41272</v>
      </c>
      <c r="D308" s="64" t="s">
        <v>363</v>
      </c>
      <c r="E308" s="95">
        <v>6000</v>
      </c>
      <c r="F308" s="95">
        <v>6000</v>
      </c>
      <c r="G308" s="117">
        <f t="shared" si="13"/>
        <v>100</v>
      </c>
    </row>
    <row r="309" spans="1:13" ht="12.5" x14ac:dyDescent="0.25">
      <c r="A309" s="58"/>
      <c r="B309" s="58"/>
      <c r="C309" s="65">
        <v>41279</v>
      </c>
      <c r="D309" s="64" t="s">
        <v>334</v>
      </c>
      <c r="E309" s="95">
        <v>6000</v>
      </c>
      <c r="F309" s="95">
        <v>4968</v>
      </c>
      <c r="G309" s="117">
        <f t="shared" si="13"/>
        <v>82.8</v>
      </c>
    </row>
    <row r="310" spans="1:13" ht="13.5" customHeight="1" x14ac:dyDescent="0.25">
      <c r="A310" s="58"/>
      <c r="B310" s="60" t="s">
        <v>27</v>
      </c>
      <c r="C310" s="58"/>
      <c r="D310" s="61" t="s">
        <v>28</v>
      </c>
      <c r="E310" s="96">
        <f>+E311+E312</f>
        <v>1500</v>
      </c>
      <c r="F310" s="96">
        <f>+F311+F312</f>
        <v>897.8</v>
      </c>
      <c r="G310" s="116">
        <f t="shared" si="13"/>
        <v>59.853333333333325</v>
      </c>
    </row>
    <row r="311" spans="1:13" ht="12.5" x14ac:dyDescent="0.25">
      <c r="A311" s="58"/>
      <c r="B311" s="58"/>
      <c r="C311" s="63" t="s">
        <v>29</v>
      </c>
      <c r="D311" s="64" t="s">
        <v>30</v>
      </c>
      <c r="E311" s="95">
        <v>1000</v>
      </c>
      <c r="F311" s="95">
        <v>701</v>
      </c>
      <c r="G311" s="117">
        <f t="shared" si="13"/>
        <v>70.099999999999994</v>
      </c>
    </row>
    <row r="312" spans="1:13" ht="12.5" x14ac:dyDescent="0.25">
      <c r="A312" s="58"/>
      <c r="B312" s="58"/>
      <c r="C312" s="63" t="s">
        <v>37</v>
      </c>
      <c r="D312" s="64" t="s">
        <v>38</v>
      </c>
      <c r="E312" s="95">
        <v>500</v>
      </c>
      <c r="F312" s="95">
        <v>196.8</v>
      </c>
      <c r="G312" s="117">
        <f t="shared" si="13"/>
        <v>39.36</v>
      </c>
    </row>
    <row r="313" spans="1:13" ht="13.5" customHeight="1" x14ac:dyDescent="0.25">
      <c r="A313" s="58"/>
      <c r="B313" s="60" t="s">
        <v>88</v>
      </c>
      <c r="C313" s="58"/>
      <c r="D313" s="66" t="s">
        <v>89</v>
      </c>
      <c r="E313" s="96">
        <f>+E314+E315</f>
        <v>130900</v>
      </c>
      <c r="F313" s="96">
        <f>+F314+F315</f>
        <v>126970.44</v>
      </c>
      <c r="G313" s="116">
        <f t="shared" si="13"/>
        <v>96.998044308632544</v>
      </c>
      <c r="L313" s="67"/>
      <c r="M313" s="67"/>
    </row>
    <row r="314" spans="1:13" ht="12.5" x14ac:dyDescent="0.25">
      <c r="A314" s="58"/>
      <c r="B314" s="58"/>
      <c r="C314" s="63" t="s">
        <v>90</v>
      </c>
      <c r="D314" s="68" t="s">
        <v>91</v>
      </c>
      <c r="E314" s="95">
        <f>125000+1400</f>
        <v>126400</v>
      </c>
      <c r="F314" s="95">
        <v>126321.97</v>
      </c>
      <c r="G314" s="117">
        <f t="shared" si="13"/>
        <v>99.9382674050633</v>
      </c>
      <c r="L314" s="69"/>
      <c r="M314" s="69"/>
    </row>
    <row r="315" spans="1:13" ht="12.5" x14ac:dyDescent="0.25">
      <c r="A315" s="58"/>
      <c r="B315" s="58"/>
      <c r="C315" s="63" t="s">
        <v>92</v>
      </c>
      <c r="D315" s="68" t="s">
        <v>93</v>
      </c>
      <c r="E315" s="95">
        <f>+E316+E317+E318+E319</f>
        <v>4500</v>
      </c>
      <c r="F315" s="95">
        <v>648.47</v>
      </c>
      <c r="G315" s="117">
        <f t="shared" si="13"/>
        <v>14.410444444444446</v>
      </c>
      <c r="L315" s="69"/>
      <c r="M315" s="69"/>
    </row>
    <row r="316" spans="1:13" ht="12.5" x14ac:dyDescent="0.25">
      <c r="A316" s="58"/>
      <c r="B316" s="58"/>
      <c r="C316" s="65" t="s">
        <v>94</v>
      </c>
      <c r="D316" s="68" t="s">
        <v>95</v>
      </c>
      <c r="E316" s="95">
        <v>2000</v>
      </c>
      <c r="F316" s="95">
        <v>434.75</v>
      </c>
      <c r="G316" s="117">
        <f t="shared" si="13"/>
        <v>21.737500000000001</v>
      </c>
      <c r="L316" s="69"/>
      <c r="M316" s="69"/>
    </row>
    <row r="317" spans="1:13" ht="12.5" x14ac:dyDescent="0.25">
      <c r="A317" s="58"/>
      <c r="B317" s="58"/>
      <c r="C317" s="65" t="s">
        <v>96</v>
      </c>
      <c r="D317" s="68" t="s">
        <v>97</v>
      </c>
      <c r="E317" s="95">
        <v>500</v>
      </c>
      <c r="F317" s="95">
        <v>213.72</v>
      </c>
      <c r="G317" s="117">
        <f t="shared" si="13"/>
        <v>42.744</v>
      </c>
      <c r="L317" s="69"/>
      <c r="M317" s="69"/>
    </row>
    <row r="318" spans="1:13" ht="12.5" x14ac:dyDescent="0.25">
      <c r="A318" s="58"/>
      <c r="B318" s="58"/>
      <c r="C318" s="65">
        <v>41995</v>
      </c>
      <c r="D318" s="97" t="s">
        <v>350</v>
      </c>
      <c r="E318" s="95">
        <v>1000</v>
      </c>
      <c r="F318" s="95">
        <v>0</v>
      </c>
      <c r="G318" s="95">
        <v>0</v>
      </c>
      <c r="L318" s="69"/>
      <c r="M318" s="69"/>
    </row>
    <row r="319" spans="1:13" ht="12.5" x14ac:dyDescent="0.25">
      <c r="A319" s="58"/>
      <c r="B319" s="58"/>
      <c r="C319" s="65">
        <v>41999</v>
      </c>
      <c r="D319" s="68" t="s">
        <v>89</v>
      </c>
      <c r="E319" s="95">
        <v>1000</v>
      </c>
      <c r="F319" s="95">
        <v>0</v>
      </c>
      <c r="G319" s="95">
        <v>0</v>
      </c>
      <c r="L319" s="69"/>
      <c r="M319" s="69"/>
    </row>
    <row r="320" spans="1:13" ht="30.75" customHeight="1" x14ac:dyDescent="0.25">
      <c r="A320" s="58"/>
      <c r="B320" s="60" t="s">
        <v>43</v>
      </c>
      <c r="C320" s="58"/>
      <c r="D320" s="66" t="s">
        <v>44</v>
      </c>
      <c r="E320" s="122">
        <f>+E321+E322+E325+E326+E328</f>
        <v>952100</v>
      </c>
      <c r="F320" s="122">
        <f>+F321+F322+F325+F326+F328</f>
        <v>838909.1</v>
      </c>
      <c r="G320" s="116">
        <f t="shared" si="13"/>
        <v>88.111448377271302</v>
      </c>
      <c r="L320" s="69"/>
      <c r="M320" s="69"/>
    </row>
    <row r="321" spans="1:7" ht="12.5" x14ac:dyDescent="0.25">
      <c r="A321" s="58"/>
      <c r="B321" s="58"/>
      <c r="C321" s="63" t="s">
        <v>98</v>
      </c>
      <c r="D321" s="68" t="s">
        <v>99</v>
      </c>
      <c r="E321" s="95">
        <v>12000</v>
      </c>
      <c r="F321" s="95">
        <v>4580.75</v>
      </c>
      <c r="G321" s="117">
        <f t="shared" si="13"/>
        <v>38.172916666666666</v>
      </c>
    </row>
    <row r="322" spans="1:7" ht="12.5" x14ac:dyDescent="0.25">
      <c r="A322" s="58"/>
      <c r="B322" s="58"/>
      <c r="C322" s="63" t="s">
        <v>45</v>
      </c>
      <c r="D322" s="68" t="s">
        <v>46</v>
      </c>
      <c r="E322" s="95">
        <f>+E323+E324</f>
        <v>40000</v>
      </c>
      <c r="F322" s="95">
        <f>+F323+F324</f>
        <v>21250</v>
      </c>
      <c r="G322" s="117">
        <f t="shared" si="13"/>
        <v>53.125</v>
      </c>
    </row>
    <row r="323" spans="1:7" ht="12.5" x14ac:dyDescent="0.25">
      <c r="A323" s="58"/>
      <c r="B323" s="58"/>
      <c r="C323" s="65">
        <v>43161</v>
      </c>
      <c r="D323" s="68" t="s">
        <v>311</v>
      </c>
      <c r="E323" s="95">
        <v>10000</v>
      </c>
      <c r="F323" s="95">
        <v>9050</v>
      </c>
      <c r="G323" s="117">
        <f t="shared" si="13"/>
        <v>90.5</v>
      </c>
    </row>
    <row r="324" spans="1:7" ht="12.5" x14ac:dyDescent="0.25">
      <c r="A324" s="58"/>
      <c r="B324" s="58"/>
      <c r="C324" s="65">
        <v>43162</v>
      </c>
      <c r="D324" s="68" t="s">
        <v>345</v>
      </c>
      <c r="E324" s="95">
        <v>30000</v>
      </c>
      <c r="F324" s="95">
        <v>12200</v>
      </c>
      <c r="G324" s="117">
        <f t="shared" si="13"/>
        <v>40.666666666666664</v>
      </c>
    </row>
    <row r="325" spans="1:7" ht="12.5" x14ac:dyDescent="0.25">
      <c r="A325" s="58"/>
      <c r="B325" s="58"/>
      <c r="C325" s="63" t="s">
        <v>100</v>
      </c>
      <c r="D325" s="68" t="s">
        <v>101</v>
      </c>
      <c r="E325" s="95">
        <v>10000</v>
      </c>
      <c r="F325" s="95">
        <v>0</v>
      </c>
      <c r="G325" s="95">
        <v>0</v>
      </c>
    </row>
    <row r="326" spans="1:7" ht="12.5" x14ac:dyDescent="0.25">
      <c r="A326" s="58"/>
      <c r="B326" s="58"/>
      <c r="C326" s="63" t="s">
        <v>102</v>
      </c>
      <c r="D326" s="68" t="s">
        <v>103</v>
      </c>
      <c r="E326" s="95">
        <f>+E327</f>
        <v>38000</v>
      </c>
      <c r="F326" s="95">
        <f>+F327</f>
        <v>37350</v>
      </c>
      <c r="G326" s="117">
        <f t="shared" si="13"/>
        <v>98.28947368421052</v>
      </c>
    </row>
    <row r="327" spans="1:7" ht="12.5" x14ac:dyDescent="0.25">
      <c r="A327" s="58"/>
      <c r="B327" s="58"/>
      <c r="C327" s="65" t="s">
        <v>104</v>
      </c>
      <c r="D327" s="68" t="s">
        <v>346</v>
      </c>
      <c r="E327" s="102">
        <v>38000</v>
      </c>
      <c r="F327" s="95">
        <v>37350</v>
      </c>
      <c r="G327" s="117">
        <f t="shared" si="13"/>
        <v>98.28947368421052</v>
      </c>
    </row>
    <row r="328" spans="1:7" ht="12.5" x14ac:dyDescent="0.25">
      <c r="A328" s="58"/>
      <c r="B328" s="58"/>
      <c r="C328" s="63" t="s">
        <v>105</v>
      </c>
      <c r="D328" s="68" t="s">
        <v>106</v>
      </c>
      <c r="E328" s="95">
        <f>+E329+E330+E331+E332+E333+E334+E335</f>
        <v>852100</v>
      </c>
      <c r="F328" s="95">
        <f>+F329+F330+F331+F332+F333+F334+F335</f>
        <v>775728.35</v>
      </c>
      <c r="G328" s="117">
        <f t="shared" si="13"/>
        <v>91.03724328130501</v>
      </c>
    </row>
    <row r="329" spans="1:7" ht="12.5" x14ac:dyDescent="0.25">
      <c r="A329" s="58"/>
      <c r="B329" s="58"/>
      <c r="C329" s="65" t="s">
        <v>107</v>
      </c>
      <c r="D329" s="68" t="s">
        <v>108</v>
      </c>
      <c r="E329" s="95">
        <v>250000</v>
      </c>
      <c r="F329" s="95">
        <v>198023.35</v>
      </c>
      <c r="G329" s="117">
        <f t="shared" si="13"/>
        <v>79.209340000000012</v>
      </c>
    </row>
    <row r="330" spans="1:7" ht="12.5" x14ac:dyDescent="0.25">
      <c r="A330" s="58"/>
      <c r="B330" s="58"/>
      <c r="C330" s="65" t="s">
        <v>109</v>
      </c>
      <c r="D330" s="68" t="s">
        <v>110</v>
      </c>
      <c r="E330" s="95">
        <v>190000</v>
      </c>
      <c r="F330" s="95">
        <v>190000</v>
      </c>
      <c r="G330" s="117">
        <f t="shared" si="13"/>
        <v>100</v>
      </c>
    </row>
    <row r="331" spans="1:7" ht="24.75" customHeight="1" x14ac:dyDescent="0.25">
      <c r="A331" s="58"/>
      <c r="B331" s="58"/>
      <c r="C331" s="65" t="s">
        <v>111</v>
      </c>
      <c r="D331" s="68" t="s">
        <v>347</v>
      </c>
      <c r="E331" s="95">
        <v>260000</v>
      </c>
      <c r="F331" s="95">
        <v>260000</v>
      </c>
      <c r="G331" s="117">
        <f t="shared" si="13"/>
        <v>100</v>
      </c>
    </row>
    <row r="332" spans="1:7" ht="12.5" x14ac:dyDescent="0.25">
      <c r="A332" s="58"/>
      <c r="B332" s="58"/>
      <c r="C332" s="65" t="s">
        <v>112</v>
      </c>
      <c r="D332" s="68" t="s">
        <v>113</v>
      </c>
      <c r="E332" s="95">
        <v>12000</v>
      </c>
      <c r="F332" s="95">
        <v>0</v>
      </c>
      <c r="G332" s="95">
        <v>0</v>
      </c>
    </row>
    <row r="333" spans="1:7" ht="22" x14ac:dyDescent="0.25">
      <c r="A333" s="58"/>
      <c r="B333" s="58"/>
      <c r="C333" s="65">
        <v>43197</v>
      </c>
      <c r="D333" s="85" t="s">
        <v>348</v>
      </c>
      <c r="E333" s="123">
        <f>57000+5600</f>
        <v>62600</v>
      </c>
      <c r="F333" s="123">
        <v>62525</v>
      </c>
      <c r="G333" s="117">
        <f t="shared" si="13"/>
        <v>99.880191693290726</v>
      </c>
    </row>
    <row r="334" spans="1:7" ht="12.5" x14ac:dyDescent="0.25">
      <c r="A334" s="58"/>
      <c r="B334" s="58"/>
      <c r="C334" s="65">
        <v>43198</v>
      </c>
      <c r="D334" s="85" t="s">
        <v>382</v>
      </c>
      <c r="E334" s="95">
        <v>75000</v>
      </c>
      <c r="F334" s="95">
        <v>62880</v>
      </c>
      <c r="G334" s="117">
        <f t="shared" si="13"/>
        <v>83.84</v>
      </c>
    </row>
    <row r="335" spans="1:7" ht="12.5" x14ac:dyDescent="0.25">
      <c r="A335" s="58"/>
      <c r="B335" s="58"/>
      <c r="C335" s="65">
        <v>43199</v>
      </c>
      <c r="D335" s="86" t="s">
        <v>79</v>
      </c>
      <c r="E335" s="95">
        <f>+E336+E337</f>
        <v>2500</v>
      </c>
      <c r="F335" s="95">
        <f>+F336+F337</f>
        <v>2300</v>
      </c>
      <c r="G335" s="117">
        <f t="shared" si="13"/>
        <v>92</v>
      </c>
    </row>
    <row r="336" spans="1:7" ht="12.5" x14ac:dyDescent="0.25">
      <c r="A336" s="58"/>
      <c r="B336" s="58"/>
      <c r="C336" s="70">
        <v>431991</v>
      </c>
      <c r="D336" s="86" t="s">
        <v>331</v>
      </c>
      <c r="E336" s="95">
        <v>500</v>
      </c>
      <c r="F336" s="95">
        <v>300</v>
      </c>
      <c r="G336" s="117">
        <f t="shared" si="13"/>
        <v>60</v>
      </c>
    </row>
    <row r="337" spans="1:7" ht="12.5" x14ac:dyDescent="0.25">
      <c r="A337" s="58"/>
      <c r="B337" s="58"/>
      <c r="C337" s="70">
        <v>431992</v>
      </c>
      <c r="D337" s="71" t="s">
        <v>332</v>
      </c>
      <c r="E337" s="95">
        <v>2000</v>
      </c>
      <c r="F337" s="95">
        <v>2000</v>
      </c>
      <c r="G337" s="117">
        <f t="shared" si="13"/>
        <v>100</v>
      </c>
    </row>
    <row r="338" spans="1:7" ht="13.5" customHeight="1" x14ac:dyDescent="0.25">
      <c r="A338" s="58"/>
      <c r="B338" s="60" t="s">
        <v>78</v>
      </c>
      <c r="C338" s="58"/>
      <c r="D338" s="61" t="s">
        <v>79</v>
      </c>
      <c r="E338" s="96">
        <f>+E339</f>
        <v>407200</v>
      </c>
      <c r="F338" s="96">
        <f>+F339</f>
        <v>407156</v>
      </c>
      <c r="G338" s="116">
        <f t="shared" si="13"/>
        <v>99.989194499017685</v>
      </c>
    </row>
    <row r="339" spans="1:7" ht="12.5" x14ac:dyDescent="0.25">
      <c r="A339" s="58"/>
      <c r="B339" s="58"/>
      <c r="C339" s="63" t="s">
        <v>80</v>
      </c>
      <c r="D339" s="64" t="s">
        <v>81</v>
      </c>
      <c r="E339" s="95">
        <f>+E340+E341+E342</f>
        <v>407200</v>
      </c>
      <c r="F339" s="95">
        <f>+F340+F341+F342</f>
        <v>407156</v>
      </c>
      <c r="G339" s="117">
        <f t="shared" si="13"/>
        <v>99.989194499017685</v>
      </c>
    </row>
    <row r="340" spans="1:7" ht="12.5" x14ac:dyDescent="0.25">
      <c r="A340" s="58"/>
      <c r="B340" s="58"/>
      <c r="C340" s="65" t="s">
        <v>114</v>
      </c>
      <c r="D340" s="64" t="s">
        <v>115</v>
      </c>
      <c r="E340" s="95">
        <v>240000</v>
      </c>
      <c r="F340" s="95">
        <v>240000</v>
      </c>
      <c r="G340" s="117">
        <f t="shared" si="13"/>
        <v>100</v>
      </c>
    </row>
    <row r="341" spans="1:7" ht="12.5" x14ac:dyDescent="0.25">
      <c r="A341" s="58"/>
      <c r="B341" s="58"/>
      <c r="C341" s="65" t="s">
        <v>116</v>
      </c>
      <c r="D341" s="64" t="s">
        <v>117</v>
      </c>
      <c r="E341" s="95">
        <f>62000+18200</f>
        <v>80200</v>
      </c>
      <c r="F341" s="95">
        <v>80156</v>
      </c>
      <c r="G341" s="117">
        <f t="shared" si="13"/>
        <v>99.94513715710724</v>
      </c>
    </row>
    <row r="342" spans="1:7" ht="12.5" x14ac:dyDescent="0.25">
      <c r="A342" s="58"/>
      <c r="B342" s="58"/>
      <c r="C342" s="65" t="s">
        <v>118</v>
      </c>
      <c r="D342" s="64" t="s">
        <v>119</v>
      </c>
      <c r="E342" s="95">
        <v>87000</v>
      </c>
      <c r="F342" s="95">
        <v>87000</v>
      </c>
      <c r="G342" s="117">
        <f t="shared" si="13"/>
        <v>100</v>
      </c>
    </row>
    <row r="343" spans="1:7" ht="13.5" customHeight="1" x14ac:dyDescent="0.25">
      <c r="A343" s="58"/>
      <c r="B343" s="60" t="s">
        <v>47</v>
      </c>
      <c r="C343" s="58"/>
      <c r="D343" s="61" t="s">
        <v>48</v>
      </c>
      <c r="E343" s="96">
        <f>+E344</f>
        <v>1000</v>
      </c>
      <c r="F343" s="96">
        <v>0</v>
      </c>
      <c r="G343" s="96">
        <v>0</v>
      </c>
    </row>
    <row r="344" spans="1:7" ht="12.5" x14ac:dyDescent="0.25">
      <c r="A344" s="58"/>
      <c r="B344" s="58"/>
      <c r="C344" s="63" t="s">
        <v>49</v>
      </c>
      <c r="D344" s="64" t="s">
        <v>50</v>
      </c>
      <c r="E344" s="95">
        <v>1000</v>
      </c>
      <c r="F344" s="95">
        <v>0</v>
      </c>
      <c r="G344" s="95">
        <v>0</v>
      </c>
    </row>
    <row r="345" spans="1:7" ht="13.5" customHeight="1" x14ac:dyDescent="0.25">
      <c r="A345" s="58"/>
      <c r="B345" s="60" t="s">
        <v>53</v>
      </c>
      <c r="C345" s="58"/>
      <c r="D345" s="61" t="s">
        <v>54</v>
      </c>
      <c r="E345" s="96">
        <f>+E346</f>
        <v>200500</v>
      </c>
      <c r="F345" s="96">
        <f>+F346</f>
        <v>200347.34</v>
      </c>
      <c r="G345" s="116">
        <f t="shared" si="13"/>
        <v>99.923860349127182</v>
      </c>
    </row>
    <row r="346" spans="1:7" ht="12.5" x14ac:dyDescent="0.25">
      <c r="A346" s="58"/>
      <c r="B346" s="58"/>
      <c r="C346" s="63" t="s">
        <v>55</v>
      </c>
      <c r="D346" s="64" t="s">
        <v>56</v>
      </c>
      <c r="E346" s="95">
        <f>+E347</f>
        <v>200500</v>
      </c>
      <c r="F346" s="95">
        <f>+F347</f>
        <v>200347.34</v>
      </c>
      <c r="G346" s="117">
        <f t="shared" si="13"/>
        <v>99.923860349127182</v>
      </c>
    </row>
    <row r="347" spans="1:7" ht="12.5" x14ac:dyDescent="0.25">
      <c r="A347" s="58"/>
      <c r="B347" s="58"/>
      <c r="C347" s="65" t="s">
        <v>57</v>
      </c>
      <c r="D347" s="64" t="s">
        <v>58</v>
      </c>
      <c r="E347" s="95">
        <f>190000+10500</f>
        <v>200500</v>
      </c>
      <c r="F347" s="95">
        <v>200347.34</v>
      </c>
      <c r="G347" s="117">
        <f t="shared" si="13"/>
        <v>99.923860349127182</v>
      </c>
    </row>
    <row r="348" spans="1:7" ht="12.5" x14ac:dyDescent="0.25">
      <c r="A348" s="153" t="s">
        <v>301</v>
      </c>
      <c r="B348" s="153" t="s">
        <v>228</v>
      </c>
      <c r="C348" s="153"/>
      <c r="D348" s="161" t="s">
        <v>0</v>
      </c>
      <c r="E348" s="194" t="s">
        <v>229</v>
      </c>
      <c r="F348" s="194" t="s">
        <v>230</v>
      </c>
      <c r="G348" s="188" t="s">
        <v>302</v>
      </c>
    </row>
    <row r="349" spans="1:7" ht="12.5" x14ac:dyDescent="0.25">
      <c r="A349" s="153"/>
      <c r="B349" s="153"/>
      <c r="C349" s="153"/>
      <c r="D349" s="161"/>
      <c r="E349" s="195"/>
      <c r="F349" s="195"/>
      <c r="G349" s="188"/>
    </row>
    <row r="350" spans="1:7" ht="20.25" customHeight="1" x14ac:dyDescent="0.25">
      <c r="A350" s="153"/>
      <c r="B350" s="153"/>
      <c r="C350" s="153"/>
      <c r="D350" s="161"/>
      <c r="E350" s="196"/>
      <c r="F350" s="196"/>
      <c r="G350" s="188"/>
    </row>
    <row r="351" spans="1:7" ht="16.5" customHeight="1" x14ac:dyDescent="0.25">
      <c r="A351" s="57" t="s">
        <v>133</v>
      </c>
      <c r="B351" s="58"/>
      <c r="C351" s="58"/>
      <c r="D351" s="162" t="s">
        <v>134</v>
      </c>
      <c r="E351" s="173">
        <f>E353+E359+E361+E368+E370+E374+E377+E379+E383+E385</f>
        <v>1514890</v>
      </c>
      <c r="F351" s="173">
        <f>F353+F359+F361+F368+F370+F374+F377+F379+F383+F385</f>
        <v>1359059.93</v>
      </c>
      <c r="G351" s="186">
        <f>F351/E351*100</f>
        <v>89.713439919730149</v>
      </c>
    </row>
    <row r="352" spans="1:7" ht="12" customHeight="1" x14ac:dyDescent="0.25">
      <c r="A352" s="57"/>
      <c r="B352" s="58"/>
      <c r="C352" s="58"/>
      <c r="D352" s="163"/>
      <c r="E352" s="174"/>
      <c r="F352" s="174"/>
      <c r="G352" s="187"/>
    </row>
    <row r="353" spans="1:7" ht="14.25" customHeight="1" x14ac:dyDescent="0.25">
      <c r="A353" s="58"/>
      <c r="B353" s="60" t="s">
        <v>3</v>
      </c>
      <c r="C353" s="58"/>
      <c r="D353" s="61" t="s">
        <v>4</v>
      </c>
      <c r="E353" s="62">
        <f>SUM(E354:E358)</f>
        <v>143440</v>
      </c>
      <c r="F353" s="62">
        <f>SUM(F354:F358)</f>
        <v>136000.28</v>
      </c>
      <c r="G353" s="116">
        <f t="shared" ref="G353:G384" si="14">F353/E353*100</f>
        <v>94.813357501394307</v>
      </c>
    </row>
    <row r="354" spans="1:7" ht="12.5" x14ac:dyDescent="0.25">
      <c r="A354" s="58"/>
      <c r="B354" s="58"/>
      <c r="C354" s="63" t="s">
        <v>5</v>
      </c>
      <c r="D354" s="64" t="s">
        <v>6</v>
      </c>
      <c r="E354" s="95">
        <f>132000+3300</f>
        <v>135300</v>
      </c>
      <c r="F354" s="95">
        <v>135232.71</v>
      </c>
      <c r="G354" s="117">
        <f t="shared" si="14"/>
        <v>99.950266075388015</v>
      </c>
    </row>
    <row r="355" spans="1:7" ht="12.5" x14ac:dyDescent="0.25">
      <c r="A355" s="58"/>
      <c r="B355" s="58"/>
      <c r="C355" s="63" t="s">
        <v>7</v>
      </c>
      <c r="D355" s="64" t="s">
        <v>8</v>
      </c>
      <c r="E355" s="95">
        <v>1000</v>
      </c>
      <c r="F355" s="95">
        <v>0</v>
      </c>
      <c r="G355" s="95">
        <v>0</v>
      </c>
    </row>
    <row r="356" spans="1:7" ht="12.5" x14ac:dyDescent="0.25">
      <c r="A356" s="58"/>
      <c r="B356" s="58"/>
      <c r="C356" s="63" t="s">
        <v>9</v>
      </c>
      <c r="D356" s="64" t="s">
        <v>10</v>
      </c>
      <c r="E356" s="95">
        <v>4400</v>
      </c>
      <c r="F356" s="95">
        <v>0</v>
      </c>
      <c r="G356" s="95">
        <v>0</v>
      </c>
    </row>
    <row r="357" spans="1:7" ht="12.5" x14ac:dyDescent="0.25">
      <c r="A357" s="58"/>
      <c r="B357" s="58"/>
      <c r="C357" s="63" t="s">
        <v>11</v>
      </c>
      <c r="D357" s="64" t="s">
        <v>12</v>
      </c>
      <c r="E357" s="95">
        <v>1900</v>
      </c>
      <c r="F357" s="95">
        <v>0</v>
      </c>
      <c r="G357" s="95">
        <v>0</v>
      </c>
    </row>
    <row r="358" spans="1:7" ht="12.5" x14ac:dyDescent="0.25">
      <c r="A358" s="58"/>
      <c r="B358" s="58"/>
      <c r="C358" s="63" t="s">
        <v>13</v>
      </c>
      <c r="D358" s="64" t="s">
        <v>14</v>
      </c>
      <c r="E358" s="95">
        <f>140+700</f>
        <v>840</v>
      </c>
      <c r="F358" s="95">
        <v>767.57</v>
      </c>
      <c r="G358" s="117">
        <f t="shared" si="14"/>
        <v>91.37738095238096</v>
      </c>
    </row>
    <row r="359" spans="1:7" ht="13.5" customHeight="1" x14ac:dyDescent="0.25">
      <c r="A359" s="58"/>
      <c r="B359" s="60" t="s">
        <v>15</v>
      </c>
      <c r="C359" s="58"/>
      <c r="D359" s="61" t="s">
        <v>16</v>
      </c>
      <c r="E359" s="96">
        <f>+E360</f>
        <v>2500</v>
      </c>
      <c r="F359" s="96">
        <f>+F360</f>
        <v>696</v>
      </c>
      <c r="G359" s="116">
        <f t="shared" si="14"/>
        <v>27.839999999999996</v>
      </c>
    </row>
    <row r="360" spans="1:7" ht="12.5" x14ac:dyDescent="0.25">
      <c r="A360" s="58"/>
      <c r="B360" s="58"/>
      <c r="C360" s="63" t="s">
        <v>17</v>
      </c>
      <c r="D360" s="64" t="s">
        <v>18</v>
      </c>
      <c r="E360" s="95">
        <v>2500</v>
      </c>
      <c r="F360" s="95">
        <v>696</v>
      </c>
      <c r="G360" s="117">
        <f t="shared" si="14"/>
        <v>27.839999999999996</v>
      </c>
    </row>
    <row r="361" spans="1:7" ht="13.5" customHeight="1" x14ac:dyDescent="0.25">
      <c r="A361" s="58"/>
      <c r="B361" s="60" t="s">
        <v>27</v>
      </c>
      <c r="C361" s="58"/>
      <c r="D361" s="61" t="s">
        <v>28</v>
      </c>
      <c r="E361" s="96">
        <f>+E362+E363+E364+E365</f>
        <v>40950</v>
      </c>
      <c r="F361" s="96">
        <f>+F362+F363+F364+F365</f>
        <v>39398.29</v>
      </c>
      <c r="G361" s="116">
        <f t="shared" si="14"/>
        <v>96.210720390720397</v>
      </c>
    </row>
    <row r="362" spans="1:7" ht="12.5" x14ac:dyDescent="0.25">
      <c r="A362" s="58"/>
      <c r="B362" s="58"/>
      <c r="C362" s="63" t="s">
        <v>29</v>
      </c>
      <c r="D362" s="64" t="s">
        <v>30</v>
      </c>
      <c r="E362" s="95">
        <v>1500</v>
      </c>
      <c r="F362" s="95">
        <v>811.95</v>
      </c>
      <c r="G362" s="117">
        <f t="shared" si="14"/>
        <v>54.13</v>
      </c>
    </row>
    <row r="363" spans="1:7" ht="12.5" x14ac:dyDescent="0.25">
      <c r="A363" s="58"/>
      <c r="B363" s="58"/>
      <c r="C363" s="63" t="s">
        <v>33</v>
      </c>
      <c r="D363" s="64" t="s">
        <v>34</v>
      </c>
      <c r="E363" s="95">
        <f>12000+10200</f>
        <v>22200</v>
      </c>
      <c r="F363" s="95">
        <v>22091.82</v>
      </c>
      <c r="G363" s="117">
        <f t="shared" si="14"/>
        <v>99.512702702702711</v>
      </c>
    </row>
    <row r="364" spans="1:7" ht="12.5" x14ac:dyDescent="0.25">
      <c r="A364" s="58"/>
      <c r="B364" s="58"/>
      <c r="C364" s="63" t="s">
        <v>135</v>
      </c>
      <c r="D364" s="64" t="s">
        <v>136</v>
      </c>
      <c r="E364" s="95">
        <f>9000+1200</f>
        <v>10200</v>
      </c>
      <c r="F364" s="95">
        <f>10106.2+5.57</f>
        <v>10111.77</v>
      </c>
      <c r="G364" s="117">
        <f t="shared" si="14"/>
        <v>99.135000000000005</v>
      </c>
    </row>
    <row r="365" spans="1:7" ht="12.5" x14ac:dyDescent="0.25">
      <c r="A365" s="58"/>
      <c r="B365" s="58"/>
      <c r="C365" s="63" t="s">
        <v>37</v>
      </c>
      <c r="D365" s="64" t="s">
        <v>38</v>
      </c>
      <c r="E365" s="95">
        <f>+E366+E367</f>
        <v>7050</v>
      </c>
      <c r="F365" s="95">
        <v>6382.75</v>
      </c>
      <c r="G365" s="117">
        <f t="shared" si="14"/>
        <v>90.535460992907801</v>
      </c>
    </row>
    <row r="366" spans="1:7" ht="12.5" x14ac:dyDescent="0.25">
      <c r="A366" s="58"/>
      <c r="B366" s="58"/>
      <c r="C366" s="65">
        <v>41492</v>
      </c>
      <c r="D366" s="64" t="s">
        <v>380</v>
      </c>
      <c r="E366" s="95">
        <v>6050</v>
      </c>
      <c r="F366" s="95">
        <v>6050</v>
      </c>
      <c r="G366" s="117">
        <f t="shared" si="14"/>
        <v>100</v>
      </c>
    </row>
    <row r="367" spans="1:7" ht="12.5" x14ac:dyDescent="0.25">
      <c r="A367" s="58"/>
      <c r="B367" s="58"/>
      <c r="C367" s="65">
        <v>41499</v>
      </c>
      <c r="D367" s="64" t="s">
        <v>38</v>
      </c>
      <c r="E367" s="95">
        <v>1000</v>
      </c>
      <c r="F367" s="95">
        <f>+F365-F366</f>
        <v>332.75</v>
      </c>
      <c r="G367" s="117">
        <f t="shared" si="14"/>
        <v>33.274999999999999</v>
      </c>
    </row>
    <row r="368" spans="1:7" ht="13.5" customHeight="1" x14ac:dyDescent="0.25">
      <c r="A368" s="58"/>
      <c r="B368" s="60" t="s">
        <v>137</v>
      </c>
      <c r="C368" s="58"/>
      <c r="D368" s="61" t="s">
        <v>138</v>
      </c>
      <c r="E368" s="96">
        <f>+E369</f>
        <v>52200</v>
      </c>
      <c r="F368" s="96">
        <f>+F369</f>
        <v>52110.85</v>
      </c>
      <c r="G368" s="116">
        <f t="shared" si="14"/>
        <v>99.829214559386969</v>
      </c>
    </row>
    <row r="369" spans="1:7" ht="12.5" x14ac:dyDescent="0.25">
      <c r="A369" s="58"/>
      <c r="B369" s="58"/>
      <c r="C369" s="63" t="s">
        <v>139</v>
      </c>
      <c r="D369" s="64" t="s">
        <v>140</v>
      </c>
      <c r="E369" s="95">
        <f>35000+17200</f>
        <v>52200</v>
      </c>
      <c r="F369" s="95">
        <v>52110.85</v>
      </c>
      <c r="G369" s="117">
        <f t="shared" si="14"/>
        <v>99.829214559386969</v>
      </c>
    </row>
    <row r="370" spans="1:7" ht="12.5" x14ac:dyDescent="0.25">
      <c r="A370" s="58"/>
      <c r="B370" s="60">
        <v>419</v>
      </c>
      <c r="C370" s="63"/>
      <c r="D370" s="66" t="s">
        <v>89</v>
      </c>
      <c r="E370" s="96">
        <f>+E371</f>
        <v>30000</v>
      </c>
      <c r="F370" s="96">
        <f>+F371</f>
        <v>23000</v>
      </c>
      <c r="G370" s="116">
        <f t="shared" si="14"/>
        <v>76.666666666666671</v>
      </c>
    </row>
    <row r="371" spans="1:7" ht="12.5" x14ac:dyDescent="0.25">
      <c r="A371" s="58"/>
      <c r="B371" s="58"/>
      <c r="C371" s="63">
        <v>4199</v>
      </c>
      <c r="D371" s="68" t="s">
        <v>312</v>
      </c>
      <c r="E371" s="95">
        <f>+E372+E373</f>
        <v>30000</v>
      </c>
      <c r="F371" s="95">
        <f>+F372+F373</f>
        <v>23000</v>
      </c>
      <c r="G371" s="117">
        <f t="shared" si="14"/>
        <v>76.666666666666671</v>
      </c>
    </row>
    <row r="372" spans="1:7" ht="12.5" x14ac:dyDescent="0.25">
      <c r="A372" s="58"/>
      <c r="B372" s="58"/>
      <c r="C372" s="65">
        <v>41993</v>
      </c>
      <c r="D372" s="68" t="s">
        <v>313</v>
      </c>
      <c r="E372" s="95">
        <v>20000</v>
      </c>
      <c r="F372" s="95">
        <v>17000</v>
      </c>
      <c r="G372" s="117">
        <f t="shared" si="14"/>
        <v>85</v>
      </c>
    </row>
    <row r="373" spans="1:7" ht="12.5" x14ac:dyDescent="0.25">
      <c r="A373" s="58"/>
      <c r="B373" s="58"/>
      <c r="C373" s="65">
        <v>41994</v>
      </c>
      <c r="D373" s="97" t="s">
        <v>351</v>
      </c>
      <c r="E373" s="95">
        <v>10000</v>
      </c>
      <c r="F373" s="95">
        <v>6000</v>
      </c>
      <c r="G373" s="117">
        <f t="shared" si="14"/>
        <v>60</v>
      </c>
    </row>
    <row r="374" spans="1:7" ht="13.5" customHeight="1" x14ac:dyDescent="0.25">
      <c r="A374" s="58"/>
      <c r="B374" s="60" t="s">
        <v>47</v>
      </c>
      <c r="C374" s="58"/>
      <c r="D374" s="61" t="s">
        <v>48</v>
      </c>
      <c r="E374" s="96">
        <f>+E375+E376</f>
        <v>2400</v>
      </c>
      <c r="F374" s="96">
        <f>+F375+F376</f>
        <v>0</v>
      </c>
      <c r="G374" s="96">
        <v>0</v>
      </c>
    </row>
    <row r="375" spans="1:7" ht="12.5" x14ac:dyDescent="0.25">
      <c r="A375" s="58"/>
      <c r="B375" s="58"/>
      <c r="C375" s="63" t="s">
        <v>49</v>
      </c>
      <c r="D375" s="64" t="s">
        <v>50</v>
      </c>
      <c r="E375" s="95">
        <f>2700-1300</f>
        <v>1400</v>
      </c>
      <c r="F375" s="95">
        <v>0</v>
      </c>
      <c r="G375" s="95">
        <v>0</v>
      </c>
    </row>
    <row r="376" spans="1:7" ht="12.5" x14ac:dyDescent="0.25">
      <c r="A376" s="58"/>
      <c r="B376" s="58"/>
      <c r="C376" s="63" t="s">
        <v>131</v>
      </c>
      <c r="D376" s="64" t="s">
        <v>132</v>
      </c>
      <c r="E376" s="95">
        <v>1000</v>
      </c>
      <c r="F376" s="95">
        <v>0</v>
      </c>
      <c r="G376" s="95">
        <v>0</v>
      </c>
    </row>
    <row r="377" spans="1:7" ht="13.5" customHeight="1" x14ac:dyDescent="0.25">
      <c r="A377" s="58"/>
      <c r="B377" s="60" t="s">
        <v>141</v>
      </c>
      <c r="C377" s="58"/>
      <c r="D377" s="61" t="s">
        <v>142</v>
      </c>
      <c r="E377" s="96">
        <f>+E378</f>
        <v>240200</v>
      </c>
      <c r="F377" s="96">
        <f>+F378</f>
        <v>240130</v>
      </c>
      <c r="G377" s="116">
        <f t="shared" si="14"/>
        <v>99.970857618651124</v>
      </c>
    </row>
    <row r="378" spans="1:7" ht="12.5" x14ac:dyDescent="0.25">
      <c r="A378" s="58"/>
      <c r="B378" s="58"/>
      <c r="C378" s="63" t="s">
        <v>143</v>
      </c>
      <c r="D378" s="64" t="s">
        <v>144</v>
      </c>
      <c r="E378" s="95">
        <f>240000+200</f>
        <v>240200</v>
      </c>
      <c r="F378" s="95">
        <v>240130</v>
      </c>
      <c r="G378" s="117">
        <f t="shared" si="14"/>
        <v>99.970857618651124</v>
      </c>
    </row>
    <row r="379" spans="1:7" ht="13.5" customHeight="1" x14ac:dyDescent="0.25">
      <c r="A379" s="58"/>
      <c r="B379" s="60" t="s">
        <v>53</v>
      </c>
      <c r="C379" s="58"/>
      <c r="D379" s="61" t="s">
        <v>54</v>
      </c>
      <c r="E379" s="96">
        <f>+E380</f>
        <v>713200</v>
      </c>
      <c r="F379" s="96">
        <f>+F380</f>
        <v>645954.04999999993</v>
      </c>
      <c r="G379" s="116">
        <f t="shared" si="14"/>
        <v>90.57123527762198</v>
      </c>
    </row>
    <row r="380" spans="1:7" ht="12.5" x14ac:dyDescent="0.25">
      <c r="A380" s="58"/>
      <c r="B380" s="58"/>
      <c r="C380" s="63" t="s">
        <v>55</v>
      </c>
      <c r="D380" s="64" t="s">
        <v>56</v>
      </c>
      <c r="E380" s="95">
        <f>+E381+E382</f>
        <v>713200</v>
      </c>
      <c r="F380" s="95">
        <f>+F381+F382</f>
        <v>645954.04999999993</v>
      </c>
      <c r="G380" s="117">
        <f t="shared" si="14"/>
        <v>90.57123527762198</v>
      </c>
    </row>
    <row r="381" spans="1:7" ht="12.5" x14ac:dyDescent="0.25">
      <c r="A381" s="58"/>
      <c r="B381" s="58"/>
      <c r="C381" s="65" t="s">
        <v>145</v>
      </c>
      <c r="D381" s="64" t="s">
        <v>146</v>
      </c>
      <c r="E381" s="95">
        <f>568000+800</f>
        <v>568800</v>
      </c>
      <c r="F381" s="95">
        <v>568757.93999999994</v>
      </c>
      <c r="G381" s="117">
        <f t="shared" si="14"/>
        <v>99.992605485232062</v>
      </c>
    </row>
    <row r="382" spans="1:7" ht="12.5" x14ac:dyDescent="0.25">
      <c r="A382" s="58"/>
      <c r="B382" s="58"/>
      <c r="C382" s="65" t="s">
        <v>57</v>
      </c>
      <c r="D382" s="64" t="s">
        <v>58</v>
      </c>
      <c r="E382" s="95">
        <f>275000-130600</f>
        <v>144400</v>
      </c>
      <c r="F382" s="95">
        <v>77196.11</v>
      </c>
      <c r="G382" s="117">
        <f t="shared" si="14"/>
        <v>53.459909972299172</v>
      </c>
    </row>
    <row r="383" spans="1:7" ht="13.5" customHeight="1" x14ac:dyDescent="0.25">
      <c r="A383" s="58"/>
      <c r="B383" s="60" t="s">
        <v>147</v>
      </c>
      <c r="C383" s="58"/>
      <c r="D383" s="61" t="s">
        <v>148</v>
      </c>
      <c r="E383" s="96">
        <f>+E384</f>
        <v>280000</v>
      </c>
      <c r="F383" s="96">
        <f>+F384</f>
        <v>221770.46</v>
      </c>
      <c r="G383" s="116">
        <f t="shared" si="14"/>
        <v>79.203735714285713</v>
      </c>
    </row>
    <row r="384" spans="1:7" ht="12.5" x14ac:dyDescent="0.25">
      <c r="A384" s="58"/>
      <c r="B384" s="58"/>
      <c r="C384" s="63" t="s">
        <v>149</v>
      </c>
      <c r="D384" s="64" t="s">
        <v>148</v>
      </c>
      <c r="E384" s="95">
        <v>280000</v>
      </c>
      <c r="F384" s="95">
        <f>221620.46+150</f>
        <v>221770.46</v>
      </c>
      <c r="G384" s="117">
        <f t="shared" si="14"/>
        <v>79.203735714285713</v>
      </c>
    </row>
    <row r="385" spans="1:7" ht="13.5" customHeight="1" x14ac:dyDescent="0.25">
      <c r="A385" s="58"/>
      <c r="B385" s="60" t="s">
        <v>150</v>
      </c>
      <c r="C385" s="58"/>
      <c r="D385" s="61" t="s">
        <v>151</v>
      </c>
      <c r="E385" s="96">
        <f>+E386</f>
        <v>10000</v>
      </c>
      <c r="F385" s="96">
        <f>+F386</f>
        <v>0</v>
      </c>
      <c r="G385" s="96">
        <v>0</v>
      </c>
    </row>
    <row r="386" spans="1:7" ht="12.5" x14ac:dyDescent="0.25">
      <c r="A386" s="58"/>
      <c r="B386" s="58"/>
      <c r="C386" s="63" t="s">
        <v>152</v>
      </c>
      <c r="D386" s="64" t="s">
        <v>151</v>
      </c>
      <c r="E386" s="95">
        <v>10000</v>
      </c>
      <c r="F386" s="95">
        <v>0</v>
      </c>
      <c r="G386" s="95">
        <v>0</v>
      </c>
    </row>
    <row r="387" spans="1:7" ht="12.5" x14ac:dyDescent="0.25">
      <c r="A387" s="153" t="s">
        <v>301</v>
      </c>
      <c r="B387" s="153" t="s">
        <v>228</v>
      </c>
      <c r="C387" s="153"/>
      <c r="D387" s="161" t="s">
        <v>0</v>
      </c>
      <c r="E387" s="153" t="s">
        <v>229</v>
      </c>
      <c r="F387" s="153" t="s">
        <v>230</v>
      </c>
      <c r="G387" s="188" t="s">
        <v>302</v>
      </c>
    </row>
    <row r="388" spans="1:7" ht="12.5" x14ac:dyDescent="0.25">
      <c r="A388" s="153"/>
      <c r="B388" s="153"/>
      <c r="C388" s="153"/>
      <c r="D388" s="161"/>
      <c r="E388" s="153"/>
      <c r="F388" s="153"/>
      <c r="G388" s="188"/>
    </row>
    <row r="389" spans="1:7" ht="26.25" customHeight="1" x14ac:dyDescent="0.25">
      <c r="A389" s="153"/>
      <c r="B389" s="153"/>
      <c r="C389" s="153"/>
      <c r="D389" s="161"/>
      <c r="E389" s="153"/>
      <c r="F389" s="153"/>
      <c r="G389" s="188"/>
    </row>
    <row r="390" spans="1:7" ht="16.5" customHeight="1" x14ac:dyDescent="0.25">
      <c r="A390" s="57" t="s">
        <v>153</v>
      </c>
      <c r="B390" s="58"/>
      <c r="C390" s="58"/>
      <c r="D390" s="162" t="s">
        <v>154</v>
      </c>
      <c r="E390" s="173">
        <f>E392+E398+E400+E408+E410</f>
        <v>123700</v>
      </c>
      <c r="F390" s="173">
        <f>F392+F398+F400+F408+F410</f>
        <v>97797.57</v>
      </c>
      <c r="G390" s="186">
        <f>F390/E390*100</f>
        <v>79.060282942603081</v>
      </c>
    </row>
    <row r="391" spans="1:7" ht="9.75" customHeight="1" x14ac:dyDescent="0.25">
      <c r="A391" s="57"/>
      <c r="B391" s="58"/>
      <c r="C391" s="58"/>
      <c r="D391" s="163"/>
      <c r="E391" s="174"/>
      <c r="F391" s="174"/>
      <c r="G391" s="187"/>
    </row>
    <row r="392" spans="1:7" ht="13.5" customHeight="1" x14ac:dyDescent="0.25">
      <c r="A392" s="58"/>
      <c r="B392" s="60" t="s">
        <v>3</v>
      </c>
      <c r="C392" s="58"/>
      <c r="D392" s="61" t="s">
        <v>4</v>
      </c>
      <c r="E392" s="62">
        <f>SUM(E393:E397)</f>
        <v>73200</v>
      </c>
      <c r="F392" s="62">
        <f>SUM(F393:F397)</f>
        <v>69902.560000000012</v>
      </c>
      <c r="G392" s="116">
        <f t="shared" ref="G392:G412" si="15">F392/E392*100</f>
        <v>95.495300546448107</v>
      </c>
    </row>
    <row r="393" spans="1:7" ht="12.5" x14ac:dyDescent="0.25">
      <c r="A393" s="58"/>
      <c r="B393" s="58"/>
      <c r="C393" s="63" t="s">
        <v>5</v>
      </c>
      <c r="D393" s="64" t="s">
        <v>6</v>
      </c>
      <c r="E393" s="95">
        <f>66000+3600</f>
        <v>69600</v>
      </c>
      <c r="F393" s="95">
        <v>69573.600000000006</v>
      </c>
      <c r="G393" s="117">
        <f t="shared" si="15"/>
        <v>99.962068965517247</v>
      </c>
    </row>
    <row r="394" spans="1:7" ht="12.5" x14ac:dyDescent="0.25">
      <c r="A394" s="58"/>
      <c r="B394" s="58"/>
      <c r="C394" s="63" t="s">
        <v>7</v>
      </c>
      <c r="D394" s="64" t="s">
        <v>8</v>
      </c>
      <c r="E394" s="95">
        <v>480</v>
      </c>
      <c r="F394" s="95">
        <v>0</v>
      </c>
      <c r="G394" s="95">
        <v>0</v>
      </c>
    </row>
    <row r="395" spans="1:7" ht="12.5" x14ac:dyDescent="0.25">
      <c r="A395" s="58"/>
      <c r="B395" s="58"/>
      <c r="C395" s="63" t="s">
        <v>9</v>
      </c>
      <c r="D395" s="64" t="s">
        <v>10</v>
      </c>
      <c r="E395" s="95">
        <v>1960</v>
      </c>
      <c r="F395" s="95">
        <v>0</v>
      </c>
      <c r="G395" s="95">
        <v>0</v>
      </c>
    </row>
    <row r="396" spans="1:7" ht="12.5" x14ac:dyDescent="0.25">
      <c r="A396" s="58"/>
      <c r="B396" s="58"/>
      <c r="C396" s="63" t="s">
        <v>11</v>
      </c>
      <c r="D396" s="64" t="s">
        <v>12</v>
      </c>
      <c r="E396" s="95">
        <v>800</v>
      </c>
      <c r="F396" s="95">
        <v>0</v>
      </c>
      <c r="G396" s="95">
        <v>0</v>
      </c>
    </row>
    <row r="397" spans="1:7" ht="12.5" x14ac:dyDescent="0.25">
      <c r="A397" s="58"/>
      <c r="B397" s="58"/>
      <c r="C397" s="63" t="s">
        <v>13</v>
      </c>
      <c r="D397" s="64" t="s">
        <v>14</v>
      </c>
      <c r="E397" s="95">
        <v>360</v>
      </c>
      <c r="F397" s="95">
        <v>328.96</v>
      </c>
      <c r="G397" s="117">
        <f t="shared" si="15"/>
        <v>91.377777777777766</v>
      </c>
    </row>
    <row r="398" spans="1:7" ht="13.5" customHeight="1" x14ac:dyDescent="0.25">
      <c r="A398" s="58"/>
      <c r="B398" s="60" t="s">
        <v>15</v>
      </c>
      <c r="C398" s="58"/>
      <c r="D398" s="61" t="s">
        <v>16</v>
      </c>
      <c r="E398" s="96">
        <f>+E399</f>
        <v>1000</v>
      </c>
      <c r="F398" s="96">
        <f>+F399</f>
        <v>900</v>
      </c>
      <c r="G398" s="116">
        <f t="shared" si="15"/>
        <v>90</v>
      </c>
    </row>
    <row r="399" spans="1:7" ht="12.5" x14ac:dyDescent="0.25">
      <c r="A399" s="58"/>
      <c r="B399" s="58"/>
      <c r="C399" s="63" t="s">
        <v>17</v>
      </c>
      <c r="D399" s="64" t="s">
        <v>18</v>
      </c>
      <c r="E399" s="95">
        <v>1000</v>
      </c>
      <c r="F399" s="95">
        <v>900</v>
      </c>
      <c r="G399" s="117">
        <f t="shared" si="15"/>
        <v>90</v>
      </c>
    </row>
    <row r="400" spans="1:7" ht="13.5" customHeight="1" x14ac:dyDescent="0.25">
      <c r="A400" s="58"/>
      <c r="B400" s="60" t="s">
        <v>27</v>
      </c>
      <c r="C400" s="58"/>
      <c r="D400" s="66" t="s">
        <v>28</v>
      </c>
      <c r="E400" s="96">
        <f>+E401+E402+E407</f>
        <v>21300</v>
      </c>
      <c r="F400" s="96">
        <f>+F401+F402+F407</f>
        <v>108</v>
      </c>
      <c r="G400" s="116">
        <f t="shared" si="15"/>
        <v>0.50704225352112675</v>
      </c>
    </row>
    <row r="401" spans="1:7" ht="12.5" x14ac:dyDescent="0.25">
      <c r="A401" s="58"/>
      <c r="B401" s="58"/>
      <c r="C401" s="63" t="s">
        <v>29</v>
      </c>
      <c r="D401" s="68" t="s">
        <v>30</v>
      </c>
      <c r="E401" s="95">
        <v>300</v>
      </c>
      <c r="F401" s="95">
        <v>108</v>
      </c>
      <c r="G401" s="117">
        <f t="shared" si="15"/>
        <v>36</v>
      </c>
    </row>
    <row r="402" spans="1:7" ht="12.5" x14ac:dyDescent="0.25">
      <c r="A402" s="58"/>
      <c r="B402" s="58"/>
      <c r="C402" s="63" t="s">
        <v>35</v>
      </c>
      <c r="D402" s="68" t="s">
        <v>36</v>
      </c>
      <c r="E402" s="95">
        <f>+E403</f>
        <v>20000</v>
      </c>
      <c r="F402" s="95">
        <f>+F403</f>
        <v>0</v>
      </c>
      <c r="G402" s="95">
        <v>0</v>
      </c>
    </row>
    <row r="403" spans="1:7" ht="12.5" x14ac:dyDescent="0.25">
      <c r="A403" s="58"/>
      <c r="B403" s="58"/>
      <c r="C403" s="65" t="s">
        <v>155</v>
      </c>
      <c r="D403" s="68" t="s">
        <v>156</v>
      </c>
      <c r="E403" s="95">
        <f>+E404+E405+E406</f>
        <v>20000</v>
      </c>
      <c r="F403" s="95">
        <f>+F404+F405+F406</f>
        <v>0</v>
      </c>
      <c r="G403" s="95">
        <v>0</v>
      </c>
    </row>
    <row r="404" spans="1:7" ht="12.5" x14ac:dyDescent="0.25">
      <c r="A404" s="58"/>
      <c r="B404" s="58"/>
      <c r="C404" s="70">
        <v>414711</v>
      </c>
      <c r="D404" s="72" t="s">
        <v>326</v>
      </c>
      <c r="E404" s="95">
        <v>10000</v>
      </c>
      <c r="F404" s="95">
        <v>0</v>
      </c>
      <c r="G404" s="95">
        <v>0</v>
      </c>
    </row>
    <row r="405" spans="1:7" ht="12.5" x14ac:dyDescent="0.25">
      <c r="A405" s="58"/>
      <c r="B405" s="58"/>
      <c r="C405" s="70" t="s">
        <v>157</v>
      </c>
      <c r="D405" s="68" t="s">
        <v>158</v>
      </c>
      <c r="E405" s="95">
        <v>5000</v>
      </c>
      <c r="F405" s="95">
        <v>0</v>
      </c>
      <c r="G405" s="95">
        <v>0</v>
      </c>
    </row>
    <row r="406" spans="1:7" ht="12.5" x14ac:dyDescent="0.25">
      <c r="A406" s="58"/>
      <c r="B406" s="58"/>
      <c r="C406" s="70" t="s">
        <v>159</v>
      </c>
      <c r="D406" s="68" t="s">
        <v>314</v>
      </c>
      <c r="E406" s="95">
        <v>5000</v>
      </c>
      <c r="F406" s="95">
        <v>0</v>
      </c>
      <c r="G406" s="95">
        <v>0</v>
      </c>
    </row>
    <row r="407" spans="1:7" ht="12.5" x14ac:dyDescent="0.25">
      <c r="A407" s="58"/>
      <c r="B407" s="58"/>
      <c r="C407" s="63" t="s">
        <v>37</v>
      </c>
      <c r="D407" s="68" t="s">
        <v>38</v>
      </c>
      <c r="E407" s="95">
        <v>1000</v>
      </c>
      <c r="F407" s="95">
        <v>0</v>
      </c>
      <c r="G407" s="95">
        <v>0</v>
      </c>
    </row>
    <row r="408" spans="1:7" ht="13.5" customHeight="1" x14ac:dyDescent="0.25">
      <c r="A408" s="58"/>
      <c r="B408" s="60" t="s">
        <v>47</v>
      </c>
      <c r="C408" s="58"/>
      <c r="D408" s="61" t="s">
        <v>48</v>
      </c>
      <c r="E408" s="96">
        <f>+E409</f>
        <v>1500</v>
      </c>
      <c r="F408" s="96">
        <f>+F409</f>
        <v>234.98</v>
      </c>
      <c r="G408" s="116">
        <f t="shared" si="15"/>
        <v>15.665333333333335</v>
      </c>
    </row>
    <row r="409" spans="1:7" ht="12.5" x14ac:dyDescent="0.25">
      <c r="A409" s="58"/>
      <c r="B409" s="58"/>
      <c r="C409" s="63" t="s">
        <v>49</v>
      </c>
      <c r="D409" s="64" t="s">
        <v>50</v>
      </c>
      <c r="E409" s="95">
        <v>1500</v>
      </c>
      <c r="F409" s="95">
        <v>234.98</v>
      </c>
      <c r="G409" s="117">
        <f t="shared" si="15"/>
        <v>15.665333333333335</v>
      </c>
    </row>
    <row r="410" spans="1:7" ht="13.5" customHeight="1" x14ac:dyDescent="0.25">
      <c r="A410" s="58"/>
      <c r="B410" s="60" t="s">
        <v>53</v>
      </c>
      <c r="C410" s="58"/>
      <c r="D410" s="61" t="s">
        <v>54</v>
      </c>
      <c r="E410" s="96">
        <f>+E411</f>
        <v>26700</v>
      </c>
      <c r="F410" s="96">
        <f>+F411</f>
        <v>26652.03</v>
      </c>
      <c r="G410" s="116">
        <f t="shared" si="15"/>
        <v>99.820337078651676</v>
      </c>
    </row>
    <row r="411" spans="1:7" ht="12.5" x14ac:dyDescent="0.25">
      <c r="A411" s="58"/>
      <c r="B411" s="58"/>
      <c r="C411" s="63" t="s">
        <v>55</v>
      </c>
      <c r="D411" s="64" t="s">
        <v>56</v>
      </c>
      <c r="E411" s="95">
        <f>+E412</f>
        <v>26700</v>
      </c>
      <c r="F411" s="95">
        <f>+F412</f>
        <v>26652.03</v>
      </c>
      <c r="G411" s="117">
        <f t="shared" si="15"/>
        <v>99.820337078651676</v>
      </c>
    </row>
    <row r="412" spans="1:7" ht="12.5" x14ac:dyDescent="0.25">
      <c r="A412" s="58"/>
      <c r="B412" s="58"/>
      <c r="C412" s="65" t="s">
        <v>57</v>
      </c>
      <c r="D412" s="64" t="s">
        <v>58</v>
      </c>
      <c r="E412" s="95">
        <f>25000+1700</f>
        <v>26700</v>
      </c>
      <c r="F412" s="95">
        <v>26652.03</v>
      </c>
      <c r="G412" s="117">
        <f t="shared" si="15"/>
        <v>99.820337078651676</v>
      </c>
    </row>
    <row r="413" spans="1:7" ht="12.5" x14ac:dyDescent="0.25">
      <c r="A413" s="153" t="s">
        <v>301</v>
      </c>
      <c r="B413" s="153" t="s">
        <v>228</v>
      </c>
      <c r="C413" s="153"/>
      <c r="D413" s="161" t="s">
        <v>0</v>
      </c>
      <c r="E413" s="153" t="s">
        <v>229</v>
      </c>
      <c r="F413" s="153" t="s">
        <v>230</v>
      </c>
      <c r="G413" s="188" t="s">
        <v>302</v>
      </c>
    </row>
    <row r="414" spans="1:7" ht="12.5" x14ac:dyDescent="0.25">
      <c r="A414" s="153"/>
      <c r="B414" s="153"/>
      <c r="C414" s="153"/>
      <c r="D414" s="161"/>
      <c r="E414" s="153"/>
      <c r="F414" s="153"/>
      <c r="G414" s="188"/>
    </row>
    <row r="415" spans="1:7" ht="22.5" customHeight="1" x14ac:dyDescent="0.25">
      <c r="A415" s="153"/>
      <c r="B415" s="153"/>
      <c r="C415" s="153"/>
      <c r="D415" s="161"/>
      <c r="E415" s="153"/>
      <c r="F415" s="153"/>
      <c r="G415" s="188"/>
    </row>
    <row r="416" spans="1:7" ht="16.5" customHeight="1" x14ac:dyDescent="0.25">
      <c r="A416" s="57" t="s">
        <v>160</v>
      </c>
      <c r="B416" s="58"/>
      <c r="C416" s="58"/>
      <c r="D416" s="162" t="s">
        <v>161</v>
      </c>
      <c r="E416" s="173">
        <f>E418+E424+E426+E429+E432</f>
        <v>623400</v>
      </c>
      <c r="F416" s="173">
        <f>F418+F424+F426+F429+F432</f>
        <v>540970.26</v>
      </c>
      <c r="G416" s="186">
        <f>F416/E416*100</f>
        <v>86.777391722810393</v>
      </c>
    </row>
    <row r="417" spans="1:12" ht="12.75" customHeight="1" x14ac:dyDescent="0.25">
      <c r="A417" s="57"/>
      <c r="B417" s="58"/>
      <c r="C417" s="58"/>
      <c r="D417" s="163"/>
      <c r="E417" s="174"/>
      <c r="F417" s="174"/>
      <c r="G417" s="187"/>
    </row>
    <row r="418" spans="1:12" ht="13.5" customHeight="1" x14ac:dyDescent="0.25">
      <c r="A418" s="58"/>
      <c r="B418" s="60" t="s">
        <v>3</v>
      </c>
      <c r="C418" s="58"/>
      <c r="D418" s="61" t="s">
        <v>4</v>
      </c>
      <c r="E418" s="62">
        <f>SUM(E419:E423)</f>
        <v>430900</v>
      </c>
      <c r="F418" s="62">
        <f>SUM(F419:F423)</f>
        <v>383588.43</v>
      </c>
      <c r="G418" s="116">
        <f t="shared" ref="G418:G434" si="16">F418/E418*100</f>
        <v>89.02029009050824</v>
      </c>
    </row>
    <row r="419" spans="1:12" ht="12.5" x14ac:dyDescent="0.25">
      <c r="A419" s="58"/>
      <c r="B419" s="58"/>
      <c r="C419" s="63" t="s">
        <v>5</v>
      </c>
      <c r="D419" s="64" t="s">
        <v>6</v>
      </c>
      <c r="E419" s="95">
        <v>407000</v>
      </c>
      <c r="F419" s="95">
        <v>381505.04</v>
      </c>
      <c r="G419" s="117">
        <f t="shared" si="16"/>
        <v>93.735882063882059</v>
      </c>
    </row>
    <row r="420" spans="1:12" ht="12.5" x14ac:dyDescent="0.25">
      <c r="A420" s="58"/>
      <c r="B420" s="58"/>
      <c r="C420" s="63" t="s">
        <v>7</v>
      </c>
      <c r="D420" s="64" t="s">
        <v>8</v>
      </c>
      <c r="E420" s="95">
        <v>2820</v>
      </c>
      <c r="F420" s="95">
        <v>0</v>
      </c>
      <c r="G420" s="95">
        <v>0</v>
      </c>
    </row>
    <row r="421" spans="1:12" ht="12.5" x14ac:dyDescent="0.25">
      <c r="A421" s="58"/>
      <c r="B421" s="58"/>
      <c r="C421" s="63" t="s">
        <v>9</v>
      </c>
      <c r="D421" s="64" t="s">
        <v>10</v>
      </c>
      <c r="E421" s="95">
        <v>13200</v>
      </c>
      <c r="F421" s="95">
        <v>0</v>
      </c>
      <c r="G421" s="95">
        <v>0</v>
      </c>
    </row>
    <row r="422" spans="1:12" ht="12.5" x14ac:dyDescent="0.25">
      <c r="A422" s="58"/>
      <c r="B422" s="58"/>
      <c r="C422" s="63" t="s">
        <v>11</v>
      </c>
      <c r="D422" s="64" t="s">
        <v>12</v>
      </c>
      <c r="E422" s="95">
        <v>5700</v>
      </c>
      <c r="F422" s="95">
        <v>0</v>
      </c>
      <c r="G422" s="95">
        <v>0</v>
      </c>
    </row>
    <row r="423" spans="1:12" ht="13" x14ac:dyDescent="0.25">
      <c r="A423" s="58"/>
      <c r="B423" s="58"/>
      <c r="C423" s="63" t="s">
        <v>13</v>
      </c>
      <c r="D423" s="64" t="s">
        <v>14</v>
      </c>
      <c r="E423" s="95">
        <f>380+1800</f>
        <v>2180</v>
      </c>
      <c r="F423" s="95">
        <v>2083.39</v>
      </c>
      <c r="G423" s="117">
        <f t="shared" si="16"/>
        <v>95.568348623853211</v>
      </c>
      <c r="L423" s="120"/>
    </row>
    <row r="424" spans="1:12" ht="13.5" customHeight="1" x14ac:dyDescent="0.25">
      <c r="A424" s="58"/>
      <c r="B424" s="60" t="s">
        <v>15</v>
      </c>
      <c r="C424" s="58"/>
      <c r="D424" s="61" t="s">
        <v>16</v>
      </c>
      <c r="E424" s="96">
        <f>+E425</f>
        <v>2000</v>
      </c>
      <c r="F424" s="96">
        <f>+F425</f>
        <v>1860</v>
      </c>
      <c r="G424" s="116">
        <f t="shared" si="16"/>
        <v>93</v>
      </c>
    </row>
    <row r="425" spans="1:12" ht="12.5" x14ac:dyDescent="0.25">
      <c r="A425" s="58"/>
      <c r="B425" s="58"/>
      <c r="C425" s="63" t="s">
        <v>17</v>
      </c>
      <c r="D425" s="64" t="s">
        <v>18</v>
      </c>
      <c r="E425" s="95">
        <v>2000</v>
      </c>
      <c r="F425" s="95">
        <v>1860</v>
      </c>
      <c r="G425" s="117">
        <f t="shared" si="16"/>
        <v>93</v>
      </c>
    </row>
    <row r="426" spans="1:12" ht="13.5" customHeight="1" x14ac:dyDescent="0.25">
      <c r="A426" s="58"/>
      <c r="B426" s="60" t="s">
        <v>27</v>
      </c>
      <c r="C426" s="58"/>
      <c r="D426" s="61" t="s">
        <v>28</v>
      </c>
      <c r="E426" s="96">
        <f>+E427+E428</f>
        <v>1500</v>
      </c>
      <c r="F426" s="96">
        <f>+F427+F428</f>
        <v>562.79999999999995</v>
      </c>
      <c r="G426" s="116">
        <f t="shared" si="16"/>
        <v>37.519999999999996</v>
      </c>
    </row>
    <row r="427" spans="1:12" ht="12.5" x14ac:dyDescent="0.25">
      <c r="A427" s="58"/>
      <c r="B427" s="58"/>
      <c r="C427" s="63" t="s">
        <v>29</v>
      </c>
      <c r="D427" s="64" t="s">
        <v>30</v>
      </c>
      <c r="E427" s="95">
        <v>800</v>
      </c>
      <c r="F427" s="95">
        <v>562.79999999999995</v>
      </c>
      <c r="G427" s="117">
        <f t="shared" si="16"/>
        <v>70.349999999999994</v>
      </c>
    </row>
    <row r="428" spans="1:12" ht="12.5" x14ac:dyDescent="0.25">
      <c r="A428" s="58"/>
      <c r="B428" s="58"/>
      <c r="C428" s="63" t="s">
        <v>37</v>
      </c>
      <c r="D428" s="64" t="s">
        <v>38</v>
      </c>
      <c r="E428" s="95">
        <v>700</v>
      </c>
      <c r="F428" s="95">
        <v>0</v>
      </c>
      <c r="G428" s="95">
        <v>0</v>
      </c>
    </row>
    <row r="429" spans="1:12" ht="13.5" customHeight="1" x14ac:dyDescent="0.25">
      <c r="A429" s="58"/>
      <c r="B429" s="60" t="s">
        <v>47</v>
      </c>
      <c r="C429" s="58"/>
      <c r="D429" s="61" t="s">
        <v>48</v>
      </c>
      <c r="E429" s="96">
        <f>+E430+E431</f>
        <v>34000</v>
      </c>
      <c r="F429" s="96">
        <f>+F430+F431</f>
        <v>19.989999999999998</v>
      </c>
      <c r="G429" s="116">
        <f t="shared" si="16"/>
        <v>5.8794117647058816E-2</v>
      </c>
    </row>
    <row r="430" spans="1:12" ht="12.5" x14ac:dyDescent="0.25">
      <c r="A430" s="58"/>
      <c r="B430" s="58"/>
      <c r="C430" s="63" t="s">
        <v>49</v>
      </c>
      <c r="D430" s="64" t="s">
        <v>50</v>
      </c>
      <c r="E430" s="95">
        <v>27000</v>
      </c>
      <c r="F430" s="95">
        <v>19.989999999999998</v>
      </c>
      <c r="G430" s="117">
        <f t="shared" si="16"/>
        <v>7.4037037037037026E-2</v>
      </c>
    </row>
    <row r="431" spans="1:12" ht="12.5" x14ac:dyDescent="0.25">
      <c r="A431" s="58"/>
      <c r="B431" s="58"/>
      <c r="C431" s="63">
        <v>4416</v>
      </c>
      <c r="D431" s="64" t="s">
        <v>52</v>
      </c>
      <c r="E431" s="95">
        <v>7000</v>
      </c>
      <c r="F431" s="95">
        <v>0</v>
      </c>
      <c r="G431" s="95">
        <v>0</v>
      </c>
    </row>
    <row r="432" spans="1:12" ht="13.5" customHeight="1" x14ac:dyDescent="0.25">
      <c r="A432" s="58"/>
      <c r="B432" s="60" t="s">
        <v>53</v>
      </c>
      <c r="C432" s="58"/>
      <c r="D432" s="61" t="s">
        <v>54</v>
      </c>
      <c r="E432" s="96">
        <f>+E433</f>
        <v>155000</v>
      </c>
      <c r="F432" s="96">
        <f>+F433</f>
        <v>154939.04</v>
      </c>
      <c r="G432" s="116">
        <f t="shared" si="16"/>
        <v>99.960670967741933</v>
      </c>
    </row>
    <row r="433" spans="1:7" ht="12.5" x14ac:dyDescent="0.25">
      <c r="A433" s="58"/>
      <c r="B433" s="58"/>
      <c r="C433" s="63" t="s">
        <v>55</v>
      </c>
      <c r="D433" s="64" t="s">
        <v>56</v>
      </c>
      <c r="E433" s="95">
        <f>+E434</f>
        <v>155000</v>
      </c>
      <c r="F433" s="95">
        <f>+F434</f>
        <v>154939.04</v>
      </c>
      <c r="G433" s="117">
        <f t="shared" si="16"/>
        <v>99.960670967741933</v>
      </c>
    </row>
    <row r="434" spans="1:7" ht="12.5" x14ac:dyDescent="0.25">
      <c r="A434" s="58"/>
      <c r="B434" s="58"/>
      <c r="C434" s="65" t="s">
        <v>57</v>
      </c>
      <c r="D434" s="64" t="s">
        <v>58</v>
      </c>
      <c r="E434" s="95">
        <f>150000+5000</f>
        <v>155000</v>
      </c>
      <c r="F434" s="95">
        <v>154939.04</v>
      </c>
      <c r="G434" s="117">
        <f t="shared" si="16"/>
        <v>99.960670967741933</v>
      </c>
    </row>
    <row r="435" spans="1:7" ht="12.75" customHeight="1" x14ac:dyDescent="0.25">
      <c r="A435" s="194" t="s">
        <v>301</v>
      </c>
      <c r="B435" s="200" t="s">
        <v>228</v>
      </c>
      <c r="C435" s="201"/>
      <c r="D435" s="189" t="s">
        <v>0</v>
      </c>
      <c r="E435" s="194" t="s">
        <v>229</v>
      </c>
      <c r="F435" s="194" t="s">
        <v>230</v>
      </c>
      <c r="G435" s="170" t="s">
        <v>302</v>
      </c>
    </row>
    <row r="436" spans="1:7" ht="12.5" x14ac:dyDescent="0.25">
      <c r="A436" s="195"/>
      <c r="B436" s="202"/>
      <c r="C436" s="203"/>
      <c r="D436" s="190"/>
      <c r="E436" s="195"/>
      <c r="F436" s="195"/>
      <c r="G436" s="171"/>
    </row>
    <row r="437" spans="1:7" ht="24" customHeight="1" x14ac:dyDescent="0.25">
      <c r="A437" s="196"/>
      <c r="B437" s="204"/>
      <c r="C437" s="205"/>
      <c r="D437" s="191"/>
      <c r="E437" s="196"/>
      <c r="F437" s="196"/>
      <c r="G437" s="172"/>
    </row>
    <row r="438" spans="1:7" ht="16.5" customHeight="1" x14ac:dyDescent="0.25">
      <c r="A438" s="57" t="s">
        <v>162</v>
      </c>
      <c r="B438" s="58"/>
      <c r="C438" s="58"/>
      <c r="D438" s="162" t="s">
        <v>163</v>
      </c>
      <c r="E438" s="173">
        <f>E440+E446+E448+E452+E454+E456+E459</f>
        <v>480060</v>
      </c>
      <c r="F438" s="173">
        <f>F440+F446+F448+F452+F454+F456+F459</f>
        <v>224977.88</v>
      </c>
      <c r="G438" s="186">
        <f>F438/E438*100</f>
        <v>46.864533599966677</v>
      </c>
    </row>
    <row r="439" spans="1:7" ht="11.25" customHeight="1" x14ac:dyDescent="0.25">
      <c r="A439" s="57"/>
      <c r="B439" s="58"/>
      <c r="C439" s="58"/>
      <c r="D439" s="163"/>
      <c r="E439" s="174"/>
      <c r="F439" s="174"/>
      <c r="G439" s="187"/>
    </row>
    <row r="440" spans="1:7" ht="13.5" customHeight="1" x14ac:dyDescent="0.25">
      <c r="A440" s="58"/>
      <c r="B440" s="60" t="s">
        <v>3</v>
      </c>
      <c r="C440" s="58"/>
      <c r="D440" s="61" t="s">
        <v>4</v>
      </c>
      <c r="E440" s="62">
        <f>SUM(E441:E445)</f>
        <v>99160</v>
      </c>
      <c r="F440" s="62">
        <f>SUM(F441:F445)</f>
        <v>94164.17</v>
      </c>
      <c r="G440" s="116">
        <f t="shared" ref="G440:G461" si="17">F440/E440*100</f>
        <v>94.961849536103273</v>
      </c>
    </row>
    <row r="441" spans="1:7" ht="12.5" x14ac:dyDescent="0.25">
      <c r="A441" s="58"/>
      <c r="B441" s="58"/>
      <c r="C441" s="63" t="s">
        <v>5</v>
      </c>
      <c r="D441" s="64" t="s">
        <v>6</v>
      </c>
      <c r="E441" s="95">
        <f>88000+5700</f>
        <v>93700</v>
      </c>
      <c r="F441" s="95">
        <v>93615.91</v>
      </c>
      <c r="G441" s="117">
        <f t="shared" si="17"/>
        <v>99.910256136606193</v>
      </c>
    </row>
    <row r="442" spans="1:7" ht="12.5" x14ac:dyDescent="0.25">
      <c r="A442" s="58"/>
      <c r="B442" s="58"/>
      <c r="C442" s="63" t="s">
        <v>7</v>
      </c>
      <c r="D442" s="64" t="s">
        <v>8</v>
      </c>
      <c r="E442" s="95">
        <v>720</v>
      </c>
      <c r="F442" s="95">
        <v>0</v>
      </c>
      <c r="G442" s="95">
        <v>0</v>
      </c>
    </row>
    <row r="443" spans="1:7" ht="12.5" x14ac:dyDescent="0.25">
      <c r="A443" s="58"/>
      <c r="B443" s="58"/>
      <c r="C443" s="63" t="s">
        <v>9</v>
      </c>
      <c r="D443" s="64" t="s">
        <v>10</v>
      </c>
      <c r="E443" s="95">
        <v>2940</v>
      </c>
      <c r="F443" s="95">
        <v>0</v>
      </c>
      <c r="G443" s="95">
        <v>0</v>
      </c>
    </row>
    <row r="444" spans="1:7" ht="12.5" x14ac:dyDescent="0.25">
      <c r="A444" s="58"/>
      <c r="B444" s="58"/>
      <c r="C444" s="63" t="s">
        <v>11</v>
      </c>
      <c r="D444" s="64" t="s">
        <v>12</v>
      </c>
      <c r="E444" s="95">
        <v>1200</v>
      </c>
      <c r="F444" s="95">
        <v>0</v>
      </c>
      <c r="G444" s="95">
        <v>0</v>
      </c>
    </row>
    <row r="445" spans="1:7" ht="12.5" x14ac:dyDescent="0.25">
      <c r="A445" s="58"/>
      <c r="B445" s="58"/>
      <c r="C445" s="63" t="s">
        <v>13</v>
      </c>
      <c r="D445" s="64" t="s">
        <v>14</v>
      </c>
      <c r="E445" s="95">
        <v>600</v>
      </c>
      <c r="F445" s="95">
        <v>548.26</v>
      </c>
      <c r="G445" s="117">
        <f t="shared" si="17"/>
        <v>91.376666666666665</v>
      </c>
    </row>
    <row r="446" spans="1:7" ht="13.5" customHeight="1" x14ac:dyDescent="0.25">
      <c r="A446" s="58"/>
      <c r="B446" s="60" t="s">
        <v>15</v>
      </c>
      <c r="C446" s="58"/>
      <c r="D446" s="61" t="s">
        <v>16</v>
      </c>
      <c r="E446" s="96">
        <f>+E447</f>
        <v>1000</v>
      </c>
      <c r="F446" s="96">
        <f>+F447</f>
        <v>432</v>
      </c>
      <c r="G446" s="116">
        <f t="shared" si="17"/>
        <v>43.2</v>
      </c>
    </row>
    <row r="447" spans="1:7" ht="12.5" x14ac:dyDescent="0.25">
      <c r="A447" s="58"/>
      <c r="B447" s="58"/>
      <c r="C447" s="63" t="s">
        <v>17</v>
      </c>
      <c r="D447" s="64" t="s">
        <v>18</v>
      </c>
      <c r="E447" s="95">
        <v>1000</v>
      </c>
      <c r="F447" s="95">
        <v>432</v>
      </c>
      <c r="G447" s="117">
        <f t="shared" si="17"/>
        <v>43.2</v>
      </c>
    </row>
    <row r="448" spans="1:7" ht="13.5" customHeight="1" x14ac:dyDescent="0.25">
      <c r="A448" s="58"/>
      <c r="B448" s="60" t="s">
        <v>27</v>
      </c>
      <c r="C448" s="58"/>
      <c r="D448" s="61" t="s">
        <v>28</v>
      </c>
      <c r="E448" s="96">
        <f>+E449+E450+E451</f>
        <v>12500</v>
      </c>
      <c r="F448" s="96">
        <f>+F449+F450+F451</f>
        <v>11453.65</v>
      </c>
      <c r="G448" s="116">
        <f t="shared" si="17"/>
        <v>91.629199999999997</v>
      </c>
    </row>
    <row r="449" spans="1:7" ht="12.5" x14ac:dyDescent="0.25">
      <c r="A449" s="58"/>
      <c r="B449" s="58"/>
      <c r="C449" s="63" t="s">
        <v>29</v>
      </c>
      <c r="D449" s="64" t="s">
        <v>30</v>
      </c>
      <c r="E449" s="95">
        <v>1000</v>
      </c>
      <c r="F449" s="95">
        <v>291</v>
      </c>
      <c r="G449" s="117">
        <f t="shared" si="17"/>
        <v>29.099999999999998</v>
      </c>
    </row>
    <row r="450" spans="1:7" ht="12.5" x14ac:dyDescent="0.25">
      <c r="A450" s="58"/>
      <c r="B450" s="58"/>
      <c r="C450" s="63">
        <v>4146</v>
      </c>
      <c r="D450" s="64" t="s">
        <v>368</v>
      </c>
      <c r="E450" s="95">
        <v>1000</v>
      </c>
      <c r="F450" s="95">
        <v>793.92</v>
      </c>
      <c r="G450" s="117">
        <f t="shared" si="17"/>
        <v>79.391999999999996</v>
      </c>
    </row>
    <row r="451" spans="1:7" ht="12.5" x14ac:dyDescent="0.25">
      <c r="A451" s="58"/>
      <c r="B451" s="58"/>
      <c r="C451" s="63" t="s">
        <v>37</v>
      </c>
      <c r="D451" s="64" t="s">
        <v>38</v>
      </c>
      <c r="E451" s="95">
        <f>10000+500</f>
        <v>10500</v>
      </c>
      <c r="F451" s="95">
        <v>10368.73</v>
      </c>
      <c r="G451" s="117">
        <f t="shared" si="17"/>
        <v>98.749809523809517</v>
      </c>
    </row>
    <row r="452" spans="1:7" ht="13.5" customHeight="1" x14ac:dyDescent="0.25">
      <c r="A452" s="58"/>
      <c r="B452" s="60" t="s">
        <v>164</v>
      </c>
      <c r="C452" s="58"/>
      <c r="D452" s="61" t="s">
        <v>165</v>
      </c>
      <c r="E452" s="96">
        <f>+E453</f>
        <v>2400</v>
      </c>
      <c r="F452" s="96">
        <f>+F453</f>
        <v>2146.64</v>
      </c>
      <c r="G452" s="116">
        <f t="shared" si="17"/>
        <v>89.443333333333328</v>
      </c>
    </row>
    <row r="453" spans="1:7" ht="12.5" x14ac:dyDescent="0.25">
      <c r="A453" s="58"/>
      <c r="B453" s="58"/>
      <c r="C453" s="63" t="s">
        <v>166</v>
      </c>
      <c r="D453" s="64" t="s">
        <v>167</v>
      </c>
      <c r="E453" s="95">
        <v>2400</v>
      </c>
      <c r="F453" s="95">
        <v>2146.64</v>
      </c>
      <c r="G453" s="117">
        <f t="shared" si="17"/>
        <v>89.443333333333328</v>
      </c>
    </row>
    <row r="454" spans="1:7" ht="14.25" customHeight="1" x14ac:dyDescent="0.25">
      <c r="A454" s="58"/>
      <c r="B454" s="60" t="s">
        <v>88</v>
      </c>
      <c r="C454" s="58"/>
      <c r="D454" s="61" t="s">
        <v>89</v>
      </c>
      <c r="E454" s="96">
        <f>+E455</f>
        <v>35500</v>
      </c>
      <c r="F454" s="96">
        <f>+F455</f>
        <v>35458.39</v>
      </c>
      <c r="G454" s="116">
        <f t="shared" si="17"/>
        <v>99.882788732394374</v>
      </c>
    </row>
    <row r="455" spans="1:7" ht="12.5" x14ac:dyDescent="0.25">
      <c r="A455" s="58"/>
      <c r="B455" s="58"/>
      <c r="C455" s="63" t="s">
        <v>168</v>
      </c>
      <c r="D455" s="64" t="s">
        <v>169</v>
      </c>
      <c r="E455" s="95">
        <v>35500</v>
      </c>
      <c r="F455" s="95">
        <v>35458.39</v>
      </c>
      <c r="G455" s="117">
        <f t="shared" si="17"/>
        <v>99.882788732394374</v>
      </c>
    </row>
    <row r="456" spans="1:7" ht="13.5" customHeight="1" x14ac:dyDescent="0.25">
      <c r="A456" s="58"/>
      <c r="B456" s="60" t="s">
        <v>47</v>
      </c>
      <c r="C456" s="58"/>
      <c r="D456" s="61" t="s">
        <v>48</v>
      </c>
      <c r="E456" s="96">
        <f>+E457+E458</f>
        <v>250500</v>
      </c>
      <c r="F456" s="96">
        <f>+F457+F458</f>
        <v>2403.67</v>
      </c>
      <c r="G456" s="116">
        <f t="shared" si="17"/>
        <v>0.95954890219560884</v>
      </c>
    </row>
    <row r="457" spans="1:7" ht="12.5" x14ac:dyDescent="0.25">
      <c r="A457" s="58"/>
      <c r="B457" s="58"/>
      <c r="C457" s="63" t="s">
        <v>170</v>
      </c>
      <c r="D457" s="64" t="s">
        <v>171</v>
      </c>
      <c r="E457" s="95">
        <v>250000</v>
      </c>
      <c r="F457" s="95">
        <v>2328.69</v>
      </c>
      <c r="G457" s="117">
        <f t="shared" si="17"/>
        <v>0.93147599999999997</v>
      </c>
    </row>
    <row r="458" spans="1:7" ht="12.5" x14ac:dyDescent="0.25">
      <c r="A458" s="58"/>
      <c r="B458" s="58"/>
      <c r="C458" s="63" t="s">
        <v>49</v>
      </c>
      <c r="D458" s="64" t="s">
        <v>50</v>
      </c>
      <c r="E458" s="95">
        <v>500</v>
      </c>
      <c r="F458" s="95">
        <v>74.98</v>
      </c>
      <c r="G458" s="117">
        <f t="shared" si="17"/>
        <v>14.996</v>
      </c>
    </row>
    <row r="459" spans="1:7" ht="11.25" customHeight="1" x14ac:dyDescent="0.25">
      <c r="A459" s="58"/>
      <c r="B459" s="60" t="s">
        <v>53</v>
      </c>
      <c r="C459" s="58"/>
      <c r="D459" s="61" t="s">
        <v>54</v>
      </c>
      <c r="E459" s="96">
        <f>+E460</f>
        <v>79000</v>
      </c>
      <c r="F459" s="96">
        <f>+F460</f>
        <v>78919.360000000001</v>
      </c>
      <c r="G459" s="116">
        <f t="shared" si="17"/>
        <v>99.897924050632909</v>
      </c>
    </row>
    <row r="460" spans="1:7" ht="12.5" x14ac:dyDescent="0.25">
      <c r="A460" s="58"/>
      <c r="B460" s="58"/>
      <c r="C460" s="63" t="s">
        <v>55</v>
      </c>
      <c r="D460" s="64" t="s">
        <v>56</v>
      </c>
      <c r="E460" s="95">
        <f>+E461</f>
        <v>79000</v>
      </c>
      <c r="F460" s="95">
        <f>+F461</f>
        <v>78919.360000000001</v>
      </c>
      <c r="G460" s="117">
        <f t="shared" si="17"/>
        <v>99.897924050632909</v>
      </c>
    </row>
    <row r="461" spans="1:7" ht="12.5" x14ac:dyDescent="0.25">
      <c r="A461" s="58"/>
      <c r="B461" s="58"/>
      <c r="C461" s="65" t="s">
        <v>57</v>
      </c>
      <c r="D461" s="64" t="s">
        <v>58</v>
      </c>
      <c r="E461" s="95">
        <f>60000+19000</f>
        <v>79000</v>
      </c>
      <c r="F461" s="95">
        <v>78919.360000000001</v>
      </c>
      <c r="G461" s="117">
        <f t="shared" si="17"/>
        <v>99.897924050632909</v>
      </c>
    </row>
    <row r="462" spans="1:7" ht="12.75" customHeight="1" x14ac:dyDescent="0.25">
      <c r="A462" s="153" t="s">
        <v>301</v>
      </c>
      <c r="B462" s="153" t="s">
        <v>228</v>
      </c>
      <c r="C462" s="153"/>
      <c r="D462" s="161" t="s">
        <v>0</v>
      </c>
      <c r="E462" s="153" t="s">
        <v>229</v>
      </c>
      <c r="F462" s="153" t="s">
        <v>230</v>
      </c>
      <c r="G462" s="188" t="s">
        <v>302</v>
      </c>
    </row>
    <row r="463" spans="1:7" ht="12.5" x14ac:dyDescent="0.25">
      <c r="A463" s="153"/>
      <c r="B463" s="153"/>
      <c r="C463" s="153"/>
      <c r="D463" s="161"/>
      <c r="E463" s="153"/>
      <c r="F463" s="153"/>
      <c r="G463" s="188"/>
    </row>
    <row r="464" spans="1:7" ht="11.25" customHeight="1" x14ac:dyDescent="0.25">
      <c r="A464" s="153"/>
      <c r="B464" s="153"/>
      <c r="C464" s="153"/>
      <c r="D464" s="161"/>
      <c r="E464" s="153"/>
      <c r="F464" s="153"/>
      <c r="G464" s="188"/>
    </row>
    <row r="465" spans="1:14" ht="16.5" customHeight="1" x14ac:dyDescent="0.25">
      <c r="A465" s="57" t="s">
        <v>172</v>
      </c>
      <c r="B465" s="58"/>
      <c r="C465" s="58"/>
      <c r="D465" s="162" t="s">
        <v>173</v>
      </c>
      <c r="E465" s="173">
        <f>E467+E473+E475+E477+E481+E483+E487+E490</f>
        <v>792620</v>
      </c>
      <c r="F465" s="173">
        <f>F467+F473+F475+F477+F481+F483+F487+F490</f>
        <v>670205.71</v>
      </c>
      <c r="G465" s="186">
        <f>F465/E465*100</f>
        <v>84.555740455703869</v>
      </c>
    </row>
    <row r="466" spans="1:14" ht="10.5" customHeight="1" x14ac:dyDescent="0.25">
      <c r="A466" s="57"/>
      <c r="B466" s="58"/>
      <c r="C466" s="58"/>
      <c r="D466" s="163"/>
      <c r="E466" s="174"/>
      <c r="F466" s="174"/>
      <c r="G466" s="187"/>
    </row>
    <row r="467" spans="1:14" ht="13.5" customHeight="1" x14ac:dyDescent="0.25">
      <c r="A467" s="58"/>
      <c r="B467" s="60" t="s">
        <v>3</v>
      </c>
      <c r="C467" s="58"/>
      <c r="D467" s="61" t="s">
        <v>4</v>
      </c>
      <c r="E467" s="62">
        <f>SUM(E468:E472)</f>
        <v>467320</v>
      </c>
      <c r="F467" s="62">
        <f>SUM(F468:F472)</f>
        <v>447652.02999999997</v>
      </c>
      <c r="G467" s="116">
        <f t="shared" ref="G467:G492" si="18">F467/E467*100</f>
        <v>95.791327142001194</v>
      </c>
    </row>
    <row r="468" spans="1:14" ht="12.5" x14ac:dyDescent="0.25">
      <c r="A468" s="58"/>
      <c r="B468" s="58"/>
      <c r="C468" s="63" t="s">
        <v>5</v>
      </c>
      <c r="D468" s="64" t="s">
        <v>6</v>
      </c>
      <c r="E468" s="95">
        <f>423500+21200</f>
        <v>444700</v>
      </c>
      <c r="F468" s="95">
        <v>444603.2</v>
      </c>
      <c r="G468" s="117">
        <f t="shared" si="18"/>
        <v>99.978232516303137</v>
      </c>
    </row>
    <row r="469" spans="1:14" ht="12.5" x14ac:dyDescent="0.25">
      <c r="A469" s="58"/>
      <c r="B469" s="58"/>
      <c r="C469" s="63" t="s">
        <v>7</v>
      </c>
      <c r="D469" s="64" t="s">
        <v>8</v>
      </c>
      <c r="E469" s="95">
        <v>3120</v>
      </c>
      <c r="F469" s="95">
        <v>0</v>
      </c>
      <c r="G469" s="95">
        <v>0</v>
      </c>
    </row>
    <row r="470" spans="1:14" ht="12.5" x14ac:dyDescent="0.25">
      <c r="A470" s="58"/>
      <c r="B470" s="58"/>
      <c r="C470" s="63" t="s">
        <v>9</v>
      </c>
      <c r="D470" s="64" t="s">
        <v>10</v>
      </c>
      <c r="E470" s="95">
        <v>12000</v>
      </c>
      <c r="F470" s="95">
        <v>0</v>
      </c>
      <c r="G470" s="95">
        <v>0</v>
      </c>
    </row>
    <row r="471" spans="1:14" ht="12.5" x14ac:dyDescent="0.25">
      <c r="A471" s="58"/>
      <c r="B471" s="58"/>
      <c r="C471" s="63" t="s">
        <v>11</v>
      </c>
      <c r="D471" s="64" t="s">
        <v>12</v>
      </c>
      <c r="E471" s="95">
        <v>5300</v>
      </c>
      <c r="F471" s="95">
        <v>855.79</v>
      </c>
      <c r="G471" s="117">
        <f t="shared" si="18"/>
        <v>16.146981132075471</v>
      </c>
    </row>
    <row r="472" spans="1:14" ht="12.5" x14ac:dyDescent="0.25">
      <c r="A472" s="58"/>
      <c r="B472" s="58"/>
      <c r="C472" s="63" t="s">
        <v>13</v>
      </c>
      <c r="D472" s="64" t="s">
        <v>14</v>
      </c>
      <c r="E472" s="95">
        <v>2200</v>
      </c>
      <c r="F472" s="95">
        <v>2193.04</v>
      </c>
      <c r="G472" s="117">
        <f t="shared" si="18"/>
        <v>99.683636363636367</v>
      </c>
    </row>
    <row r="473" spans="1:14" ht="13.5" customHeight="1" x14ac:dyDescent="0.25">
      <c r="A473" s="58"/>
      <c r="B473" s="60" t="s">
        <v>15</v>
      </c>
      <c r="C473" s="58"/>
      <c r="D473" s="61" t="s">
        <v>16</v>
      </c>
      <c r="E473" s="96">
        <f>+E474</f>
        <v>3200</v>
      </c>
      <c r="F473" s="96">
        <f>+F474</f>
        <v>3186</v>
      </c>
      <c r="G473" s="116">
        <f t="shared" si="18"/>
        <v>99.5625</v>
      </c>
    </row>
    <row r="474" spans="1:14" ht="12.5" x14ac:dyDescent="0.25">
      <c r="A474" s="58"/>
      <c r="B474" s="58"/>
      <c r="C474" s="63" t="s">
        <v>17</v>
      </c>
      <c r="D474" s="64" t="s">
        <v>18</v>
      </c>
      <c r="E474" s="95">
        <v>3200</v>
      </c>
      <c r="F474" s="95">
        <v>3186</v>
      </c>
      <c r="G474" s="117">
        <f t="shared" si="18"/>
        <v>99.5625</v>
      </c>
    </row>
    <row r="475" spans="1:14" ht="13.5" customHeight="1" x14ac:dyDescent="0.25">
      <c r="A475" s="58"/>
      <c r="B475" s="60" t="s">
        <v>19</v>
      </c>
      <c r="C475" s="58"/>
      <c r="D475" s="61" t="s">
        <v>20</v>
      </c>
      <c r="E475" s="96">
        <f>+E476</f>
        <v>14000</v>
      </c>
      <c r="F475" s="96">
        <f>+F476</f>
        <v>9821.24</v>
      </c>
      <c r="G475" s="116">
        <f t="shared" si="18"/>
        <v>70.151714285714277</v>
      </c>
    </row>
    <row r="476" spans="1:14" ht="12.5" x14ac:dyDescent="0.25">
      <c r="A476" s="58"/>
      <c r="B476" s="58"/>
      <c r="C476" s="63" t="s">
        <v>120</v>
      </c>
      <c r="D476" s="64" t="s">
        <v>121</v>
      </c>
      <c r="E476" s="95">
        <v>14000</v>
      </c>
      <c r="F476" s="95">
        <v>9821.24</v>
      </c>
      <c r="G476" s="117">
        <f t="shared" si="18"/>
        <v>70.151714285714277</v>
      </c>
      <c r="M476" s="67"/>
      <c r="N476" s="67"/>
    </row>
    <row r="477" spans="1:14" ht="13.5" customHeight="1" x14ac:dyDescent="0.25">
      <c r="A477" s="58"/>
      <c r="B477" s="60" t="s">
        <v>27</v>
      </c>
      <c r="C477" s="58"/>
      <c r="D477" s="61" t="s">
        <v>28</v>
      </c>
      <c r="E477" s="96">
        <f>+E478+E479+E480</f>
        <v>15500</v>
      </c>
      <c r="F477" s="96">
        <f>+F478+F479+F480</f>
        <v>3854.39</v>
      </c>
      <c r="G477" s="116">
        <f t="shared" si="18"/>
        <v>24.867032258064516</v>
      </c>
      <c r="M477" s="69"/>
      <c r="N477" s="69"/>
    </row>
    <row r="478" spans="1:14" ht="12.5" x14ac:dyDescent="0.25">
      <c r="A478" s="58"/>
      <c r="B478" s="58"/>
      <c r="C478" s="63" t="s">
        <v>29</v>
      </c>
      <c r="D478" s="64" t="s">
        <v>30</v>
      </c>
      <c r="E478" s="95">
        <v>4000</v>
      </c>
      <c r="F478" s="95">
        <v>3400.52</v>
      </c>
      <c r="G478" s="117">
        <f t="shared" si="18"/>
        <v>85.012999999999991</v>
      </c>
      <c r="M478" s="69"/>
      <c r="N478" s="69"/>
    </row>
    <row r="479" spans="1:14" ht="12.5" x14ac:dyDescent="0.25">
      <c r="A479" s="58"/>
      <c r="B479" s="58"/>
      <c r="C479" s="63">
        <v>4148</v>
      </c>
      <c r="D479" s="64" t="s">
        <v>372</v>
      </c>
      <c r="E479" s="95">
        <v>1000</v>
      </c>
      <c r="F479" s="95">
        <v>0</v>
      </c>
      <c r="G479" s="95">
        <v>0</v>
      </c>
      <c r="M479" s="69"/>
      <c r="N479" s="69"/>
    </row>
    <row r="480" spans="1:14" ht="12.5" x14ac:dyDescent="0.25">
      <c r="A480" s="58"/>
      <c r="B480" s="58"/>
      <c r="C480" s="63">
        <v>4149</v>
      </c>
      <c r="D480" s="64" t="s">
        <v>38</v>
      </c>
      <c r="E480" s="95">
        <v>10500</v>
      </c>
      <c r="F480" s="95">
        <v>453.87</v>
      </c>
      <c r="G480" s="117">
        <f t="shared" si="18"/>
        <v>4.3225714285714281</v>
      </c>
      <c r="M480" s="69"/>
      <c r="N480" s="69"/>
    </row>
    <row r="481" spans="1:7" ht="13.5" customHeight="1" x14ac:dyDescent="0.25">
      <c r="A481" s="58"/>
      <c r="B481" s="60" t="s">
        <v>39</v>
      </c>
      <c r="C481" s="58"/>
      <c r="D481" s="61" t="s">
        <v>40</v>
      </c>
      <c r="E481" s="96">
        <f>+E482</f>
        <v>23500</v>
      </c>
      <c r="F481" s="96">
        <f>+F482</f>
        <v>6463.06</v>
      </c>
      <c r="G481" s="116">
        <f t="shared" si="18"/>
        <v>27.502382978723404</v>
      </c>
    </row>
    <row r="482" spans="1:7" ht="12.5" x14ac:dyDescent="0.25">
      <c r="A482" s="58"/>
      <c r="B482" s="58"/>
      <c r="C482" s="63" t="s">
        <v>41</v>
      </c>
      <c r="D482" s="64" t="s">
        <v>42</v>
      </c>
      <c r="E482" s="95">
        <v>23500</v>
      </c>
      <c r="F482" s="95">
        <v>6463.06</v>
      </c>
      <c r="G482" s="117">
        <f t="shared" si="18"/>
        <v>27.502382978723404</v>
      </c>
    </row>
    <row r="483" spans="1:7" ht="12.5" x14ac:dyDescent="0.25">
      <c r="A483" s="58"/>
      <c r="B483" s="60">
        <v>419</v>
      </c>
      <c r="C483" s="63"/>
      <c r="D483" s="61" t="s">
        <v>89</v>
      </c>
      <c r="E483" s="96">
        <f>+E484+E485</f>
        <v>1100</v>
      </c>
      <c r="F483" s="96">
        <f>+F484+F485</f>
        <v>0</v>
      </c>
      <c r="G483" s="96">
        <v>0</v>
      </c>
    </row>
    <row r="484" spans="1:7" ht="12.5" x14ac:dyDescent="0.25">
      <c r="A484" s="58"/>
      <c r="B484" s="58"/>
      <c r="C484" s="63">
        <v>4196</v>
      </c>
      <c r="D484" s="64" t="s">
        <v>123</v>
      </c>
      <c r="E484" s="95">
        <v>1000</v>
      </c>
      <c r="F484" s="95">
        <v>0</v>
      </c>
      <c r="G484" s="95">
        <v>0</v>
      </c>
    </row>
    <row r="485" spans="1:7" ht="12.5" x14ac:dyDescent="0.25">
      <c r="A485" s="58"/>
      <c r="B485" s="58"/>
      <c r="C485" s="63">
        <v>4199</v>
      </c>
      <c r="D485" s="64" t="s">
        <v>93</v>
      </c>
      <c r="E485" s="95">
        <v>100</v>
      </c>
      <c r="F485" s="95">
        <v>0</v>
      </c>
      <c r="G485" s="95">
        <v>0</v>
      </c>
    </row>
    <row r="486" spans="1:7" ht="22" x14ac:dyDescent="0.25">
      <c r="A486" s="58"/>
      <c r="B486" s="58"/>
      <c r="C486" s="65">
        <v>41997</v>
      </c>
      <c r="D486" s="64" t="s">
        <v>386</v>
      </c>
      <c r="E486" s="95">
        <v>100</v>
      </c>
      <c r="F486" s="95">
        <v>0</v>
      </c>
      <c r="G486" s="95">
        <v>0</v>
      </c>
    </row>
    <row r="487" spans="1:7" ht="13.5" customHeight="1" x14ac:dyDescent="0.25">
      <c r="A487" s="58"/>
      <c r="B487" s="60" t="s">
        <v>47</v>
      </c>
      <c r="C487" s="58"/>
      <c r="D487" s="61" t="s">
        <v>48</v>
      </c>
      <c r="E487" s="96">
        <f>+E488+E489</f>
        <v>83000</v>
      </c>
      <c r="F487" s="96">
        <f>+F488+F489</f>
        <v>14429.08</v>
      </c>
      <c r="G487" s="116">
        <f t="shared" si="18"/>
        <v>17.384433734939758</v>
      </c>
    </row>
    <row r="488" spans="1:7" ht="12.5" x14ac:dyDescent="0.25">
      <c r="A488" s="58"/>
      <c r="B488" s="58"/>
      <c r="C488" s="63" t="s">
        <v>49</v>
      </c>
      <c r="D488" s="64" t="s">
        <v>50</v>
      </c>
      <c r="E488" s="95">
        <v>81000</v>
      </c>
      <c r="F488" s="95">
        <v>12479.08</v>
      </c>
      <c r="G488" s="117">
        <f t="shared" si="18"/>
        <v>15.40627160493827</v>
      </c>
    </row>
    <row r="489" spans="1:7" ht="12.5" x14ac:dyDescent="0.25">
      <c r="A489" s="58"/>
      <c r="B489" s="58"/>
      <c r="C489" s="63" t="s">
        <v>131</v>
      </c>
      <c r="D489" s="64" t="s">
        <v>132</v>
      </c>
      <c r="E489" s="95">
        <v>2000</v>
      </c>
      <c r="F489" s="95">
        <v>1950</v>
      </c>
      <c r="G489" s="117">
        <f t="shared" si="18"/>
        <v>97.5</v>
      </c>
    </row>
    <row r="490" spans="1:7" ht="13.5" customHeight="1" x14ac:dyDescent="0.25">
      <c r="A490" s="58"/>
      <c r="B490" s="60" t="s">
        <v>53</v>
      </c>
      <c r="C490" s="58"/>
      <c r="D490" s="61" t="s">
        <v>54</v>
      </c>
      <c r="E490" s="96">
        <f>+E491</f>
        <v>185000</v>
      </c>
      <c r="F490" s="96">
        <f>+F491</f>
        <v>184799.91</v>
      </c>
      <c r="G490" s="116">
        <f t="shared" si="18"/>
        <v>99.891843243243244</v>
      </c>
    </row>
    <row r="491" spans="1:7" ht="12.5" x14ac:dyDescent="0.25">
      <c r="A491" s="58"/>
      <c r="B491" s="58"/>
      <c r="C491" s="63" t="s">
        <v>55</v>
      </c>
      <c r="D491" s="64" t="s">
        <v>56</v>
      </c>
      <c r="E491" s="95">
        <f>+E492</f>
        <v>185000</v>
      </c>
      <c r="F491" s="95">
        <f>+F492</f>
        <v>184799.91</v>
      </c>
      <c r="G491" s="117">
        <f t="shared" si="18"/>
        <v>99.891843243243244</v>
      </c>
    </row>
    <row r="492" spans="1:7" ht="12.5" x14ac:dyDescent="0.25">
      <c r="A492" s="58"/>
      <c r="B492" s="58"/>
      <c r="C492" s="65" t="s">
        <v>57</v>
      </c>
      <c r="D492" s="64" t="s">
        <v>58</v>
      </c>
      <c r="E492" s="95">
        <f>180000+5000</f>
        <v>185000</v>
      </c>
      <c r="F492" s="95">
        <f>184931.1-131.19</f>
        <v>184799.91</v>
      </c>
      <c r="G492" s="117">
        <f t="shared" si="18"/>
        <v>99.891843243243244</v>
      </c>
    </row>
    <row r="493" spans="1:7" ht="14.25" customHeight="1" x14ac:dyDescent="0.25">
      <c r="A493" s="153" t="s">
        <v>301</v>
      </c>
      <c r="B493" s="153" t="s">
        <v>228</v>
      </c>
      <c r="C493" s="153"/>
      <c r="D493" s="161" t="s">
        <v>0</v>
      </c>
      <c r="E493" s="153" t="s">
        <v>229</v>
      </c>
      <c r="F493" s="153" t="s">
        <v>230</v>
      </c>
      <c r="G493" s="188" t="s">
        <v>302</v>
      </c>
    </row>
    <row r="494" spans="1:7" ht="12.5" x14ac:dyDescent="0.25">
      <c r="A494" s="153"/>
      <c r="B494" s="153"/>
      <c r="C494" s="153"/>
      <c r="D494" s="161"/>
      <c r="E494" s="153"/>
      <c r="F494" s="153"/>
      <c r="G494" s="188"/>
    </row>
    <row r="495" spans="1:7" ht="21" customHeight="1" x14ac:dyDescent="0.25">
      <c r="A495" s="153"/>
      <c r="B495" s="153"/>
      <c r="C495" s="153"/>
      <c r="D495" s="161"/>
      <c r="E495" s="153"/>
      <c r="F495" s="153"/>
      <c r="G495" s="188"/>
    </row>
    <row r="496" spans="1:7" ht="16.5" customHeight="1" x14ac:dyDescent="0.25">
      <c r="A496" s="57" t="s">
        <v>174</v>
      </c>
      <c r="B496" s="58"/>
      <c r="C496" s="58"/>
      <c r="D496" s="162" t="s">
        <v>175</v>
      </c>
      <c r="E496" s="173">
        <f>E498+E504+E506+E509+E512</f>
        <v>324880</v>
      </c>
      <c r="F496" s="173">
        <f>F498+F504+F506+F509+F512</f>
        <v>309717.03999999998</v>
      </c>
      <c r="G496" s="186">
        <f>F496/E496*100</f>
        <v>95.332750554050719</v>
      </c>
    </row>
    <row r="497" spans="1:13" ht="12.75" customHeight="1" x14ac:dyDescent="0.25">
      <c r="A497" s="57"/>
      <c r="B497" s="58"/>
      <c r="C497" s="58"/>
      <c r="D497" s="163"/>
      <c r="E497" s="174"/>
      <c r="F497" s="174"/>
      <c r="G497" s="187"/>
    </row>
    <row r="498" spans="1:13" ht="13.5" customHeight="1" x14ac:dyDescent="0.25">
      <c r="A498" s="58"/>
      <c r="B498" s="60" t="s">
        <v>3</v>
      </c>
      <c r="C498" s="58"/>
      <c r="D498" s="61" t="s">
        <v>4</v>
      </c>
      <c r="E498" s="62">
        <f>SUM(E499:E503)</f>
        <v>191580</v>
      </c>
      <c r="F498" s="62">
        <f>SUM(F499:F503)</f>
        <v>183316.87</v>
      </c>
      <c r="G498" s="116">
        <f t="shared" ref="G498:G514" si="19">F498/E498*100</f>
        <v>95.686851445871184</v>
      </c>
    </row>
    <row r="499" spans="1:13" ht="13" x14ac:dyDescent="0.25">
      <c r="A499" s="58"/>
      <c r="B499" s="58"/>
      <c r="C499" s="63" t="s">
        <v>5</v>
      </c>
      <c r="D499" s="64" t="s">
        <v>6</v>
      </c>
      <c r="E499" s="95">
        <f>170500+11000</f>
        <v>181500</v>
      </c>
      <c r="F499" s="95">
        <v>181494.79</v>
      </c>
      <c r="G499" s="117">
        <f t="shared" si="19"/>
        <v>99.997129476584021</v>
      </c>
      <c r="M499" s="120"/>
    </row>
    <row r="500" spans="1:13" ht="12.5" x14ac:dyDescent="0.25">
      <c r="A500" s="58"/>
      <c r="B500" s="58"/>
      <c r="C500" s="63" t="s">
        <v>7</v>
      </c>
      <c r="D500" s="64" t="s">
        <v>8</v>
      </c>
      <c r="E500" s="95">
        <v>1160</v>
      </c>
      <c r="F500" s="95">
        <v>13.4</v>
      </c>
      <c r="G500" s="117">
        <f t="shared" si="19"/>
        <v>1.1551724137931034</v>
      </c>
    </row>
    <row r="501" spans="1:13" ht="12.5" x14ac:dyDescent="0.25">
      <c r="A501" s="58"/>
      <c r="B501" s="58"/>
      <c r="C501" s="63" t="s">
        <v>9</v>
      </c>
      <c r="D501" s="64" t="s">
        <v>10</v>
      </c>
      <c r="E501" s="95">
        <v>5600</v>
      </c>
      <c r="F501" s="95">
        <v>665.34</v>
      </c>
      <c r="G501" s="117">
        <f t="shared" si="19"/>
        <v>11.881071428571429</v>
      </c>
    </row>
    <row r="502" spans="1:13" ht="12.5" x14ac:dyDescent="0.25">
      <c r="A502" s="58"/>
      <c r="B502" s="58"/>
      <c r="C502" s="63" t="s">
        <v>11</v>
      </c>
      <c r="D502" s="64" t="s">
        <v>12</v>
      </c>
      <c r="E502" s="95">
        <v>2360</v>
      </c>
      <c r="F502" s="95">
        <v>266.12</v>
      </c>
      <c r="G502" s="117">
        <f t="shared" si="19"/>
        <v>11.276271186440677</v>
      </c>
    </row>
    <row r="503" spans="1:13" ht="12.5" x14ac:dyDescent="0.25">
      <c r="A503" s="58"/>
      <c r="B503" s="58"/>
      <c r="C503" s="63" t="s">
        <v>13</v>
      </c>
      <c r="D503" s="64" t="s">
        <v>14</v>
      </c>
      <c r="E503" s="95">
        <v>960</v>
      </c>
      <c r="F503" s="95">
        <v>877.22</v>
      </c>
      <c r="G503" s="117">
        <f t="shared" si="19"/>
        <v>91.377083333333331</v>
      </c>
    </row>
    <row r="504" spans="1:13" ht="13.5" customHeight="1" x14ac:dyDescent="0.25">
      <c r="A504" s="58"/>
      <c r="B504" s="60" t="s">
        <v>15</v>
      </c>
      <c r="C504" s="58"/>
      <c r="D504" s="61" t="s">
        <v>16</v>
      </c>
      <c r="E504" s="96">
        <f>+E505</f>
        <v>2000</v>
      </c>
      <c r="F504" s="96">
        <f>+F505</f>
        <v>864</v>
      </c>
      <c r="G504" s="116">
        <f t="shared" si="19"/>
        <v>43.2</v>
      </c>
    </row>
    <row r="505" spans="1:13" ht="12.5" x14ac:dyDescent="0.25">
      <c r="A505" s="58"/>
      <c r="B505" s="58"/>
      <c r="C505" s="63" t="s">
        <v>17</v>
      </c>
      <c r="D505" s="64" t="s">
        <v>18</v>
      </c>
      <c r="E505" s="95">
        <v>2000</v>
      </c>
      <c r="F505" s="95">
        <v>864</v>
      </c>
      <c r="G505" s="117">
        <f t="shared" si="19"/>
        <v>43.2</v>
      </c>
    </row>
    <row r="506" spans="1:13" ht="13.5" customHeight="1" x14ac:dyDescent="0.25">
      <c r="A506" s="58"/>
      <c r="B506" s="60" t="s">
        <v>27</v>
      </c>
      <c r="C506" s="58"/>
      <c r="D506" s="61" t="s">
        <v>28</v>
      </c>
      <c r="E506" s="96">
        <f>+E507+E508</f>
        <v>3300</v>
      </c>
      <c r="F506" s="96">
        <f>+F507+F508</f>
        <v>1118.4099999999999</v>
      </c>
      <c r="G506" s="116">
        <f t="shared" si="19"/>
        <v>33.891212121212114</v>
      </c>
    </row>
    <row r="507" spans="1:13" ht="12.5" x14ac:dyDescent="0.25">
      <c r="A507" s="58"/>
      <c r="B507" s="58"/>
      <c r="C507" s="63" t="s">
        <v>29</v>
      </c>
      <c r="D507" s="64" t="s">
        <v>30</v>
      </c>
      <c r="E507" s="95">
        <v>800</v>
      </c>
      <c r="F507" s="95">
        <v>198.6</v>
      </c>
      <c r="G507" s="117">
        <f t="shared" si="19"/>
        <v>24.824999999999999</v>
      </c>
    </row>
    <row r="508" spans="1:13" ht="12.5" x14ac:dyDescent="0.25">
      <c r="A508" s="58"/>
      <c r="B508" s="58"/>
      <c r="C508" s="63">
        <v>4149</v>
      </c>
      <c r="D508" s="64" t="s">
        <v>38</v>
      </c>
      <c r="E508" s="95">
        <v>2500</v>
      </c>
      <c r="F508" s="95">
        <v>919.81</v>
      </c>
      <c r="G508" s="117">
        <f t="shared" si="19"/>
        <v>36.792400000000001</v>
      </c>
    </row>
    <row r="509" spans="1:13" ht="13.5" customHeight="1" x14ac:dyDescent="0.25">
      <c r="A509" s="58"/>
      <c r="B509" s="60" t="s">
        <v>47</v>
      </c>
      <c r="C509" s="58"/>
      <c r="D509" s="61" t="s">
        <v>48</v>
      </c>
      <c r="E509" s="96">
        <f>+E510+E511</f>
        <v>3500</v>
      </c>
      <c r="F509" s="96">
        <f>+F510+F511</f>
        <v>0</v>
      </c>
      <c r="G509" s="96">
        <v>0</v>
      </c>
    </row>
    <row r="510" spans="1:13" ht="12.5" x14ac:dyDescent="0.25">
      <c r="A510" s="58"/>
      <c r="B510" s="58"/>
      <c r="C510" s="63" t="s">
        <v>49</v>
      </c>
      <c r="D510" s="64" t="s">
        <v>50</v>
      </c>
      <c r="E510" s="95">
        <v>2000</v>
      </c>
      <c r="F510" s="95">
        <v>0</v>
      </c>
      <c r="G510" s="95">
        <v>0</v>
      </c>
    </row>
    <row r="511" spans="1:13" ht="12.5" x14ac:dyDescent="0.25">
      <c r="A511" s="58"/>
      <c r="B511" s="58"/>
      <c r="C511" s="63" t="s">
        <v>131</v>
      </c>
      <c r="D511" s="64" t="s">
        <v>132</v>
      </c>
      <c r="E511" s="95">
        <v>1500</v>
      </c>
      <c r="F511" s="95">
        <v>0</v>
      </c>
      <c r="G511" s="95">
        <v>0</v>
      </c>
    </row>
    <row r="512" spans="1:13" ht="13.5" customHeight="1" x14ac:dyDescent="0.25">
      <c r="A512" s="58"/>
      <c r="B512" s="60" t="s">
        <v>53</v>
      </c>
      <c r="C512" s="58"/>
      <c r="D512" s="61" t="s">
        <v>54</v>
      </c>
      <c r="E512" s="96">
        <f>+E513</f>
        <v>124500</v>
      </c>
      <c r="F512" s="96">
        <f>+F513</f>
        <v>124417.76</v>
      </c>
      <c r="G512" s="116">
        <f t="shared" si="19"/>
        <v>99.933943775100403</v>
      </c>
    </row>
    <row r="513" spans="1:7" ht="12.5" x14ac:dyDescent="0.25">
      <c r="A513" s="58"/>
      <c r="B513" s="58"/>
      <c r="C513" s="63" t="s">
        <v>55</v>
      </c>
      <c r="D513" s="64" t="s">
        <v>56</v>
      </c>
      <c r="E513" s="95">
        <f>+E514</f>
        <v>124500</v>
      </c>
      <c r="F513" s="95">
        <f>+F514</f>
        <v>124417.76</v>
      </c>
      <c r="G513" s="117">
        <f t="shared" si="19"/>
        <v>99.933943775100403</v>
      </c>
    </row>
    <row r="514" spans="1:7" ht="12.5" x14ac:dyDescent="0.25">
      <c r="A514" s="58"/>
      <c r="B514" s="58"/>
      <c r="C514" s="65" t="s">
        <v>57</v>
      </c>
      <c r="D514" s="64" t="s">
        <v>58</v>
      </c>
      <c r="E514" s="95">
        <f>120000+4500</f>
        <v>124500</v>
      </c>
      <c r="F514" s="95">
        <v>124417.76</v>
      </c>
      <c r="G514" s="117">
        <f t="shared" si="19"/>
        <v>99.933943775100403</v>
      </c>
    </row>
    <row r="515" spans="1:7" ht="12.75" customHeight="1" x14ac:dyDescent="0.25">
      <c r="A515" s="153" t="s">
        <v>301</v>
      </c>
      <c r="B515" s="153" t="s">
        <v>228</v>
      </c>
      <c r="C515" s="153"/>
      <c r="D515" s="161" t="s">
        <v>0</v>
      </c>
      <c r="E515" s="153" t="s">
        <v>229</v>
      </c>
      <c r="F515" s="153" t="s">
        <v>230</v>
      </c>
      <c r="G515" s="188" t="s">
        <v>302</v>
      </c>
    </row>
    <row r="516" spans="1:7" ht="12.5" x14ac:dyDescent="0.25">
      <c r="A516" s="153"/>
      <c r="B516" s="153"/>
      <c r="C516" s="153"/>
      <c r="D516" s="161"/>
      <c r="E516" s="153"/>
      <c r="F516" s="153"/>
      <c r="G516" s="188"/>
    </row>
    <row r="517" spans="1:7" ht="11.25" customHeight="1" x14ac:dyDescent="0.25">
      <c r="A517" s="153"/>
      <c r="B517" s="153"/>
      <c r="C517" s="153"/>
      <c r="D517" s="161"/>
      <c r="E517" s="153"/>
      <c r="F517" s="153"/>
      <c r="G517" s="188"/>
    </row>
    <row r="518" spans="1:7" ht="16.5" customHeight="1" x14ac:dyDescent="0.25">
      <c r="A518" s="57">
        <v>19</v>
      </c>
      <c r="B518" s="58"/>
      <c r="C518" s="58"/>
      <c r="D518" s="162" t="s">
        <v>319</v>
      </c>
      <c r="E518" s="173">
        <f>E520+E528+E532+E526+E534</f>
        <v>183500</v>
      </c>
      <c r="F518" s="173">
        <f>F520+F528+F532+F526+F534</f>
        <v>72455.83</v>
      </c>
      <c r="G518" s="186">
        <f>F518/E518*100</f>
        <v>39.485465940054496</v>
      </c>
    </row>
    <row r="519" spans="1:7" ht="15" customHeight="1" x14ac:dyDescent="0.25">
      <c r="A519" s="57"/>
      <c r="B519" s="58"/>
      <c r="C519" s="58"/>
      <c r="D519" s="163"/>
      <c r="E519" s="174"/>
      <c r="F519" s="174"/>
      <c r="G519" s="187"/>
    </row>
    <row r="520" spans="1:7" ht="13.5" customHeight="1" x14ac:dyDescent="0.25">
      <c r="A520" s="58"/>
      <c r="B520" s="60" t="s">
        <v>3</v>
      </c>
      <c r="C520" s="58"/>
      <c r="D520" s="61" t="s">
        <v>4</v>
      </c>
      <c r="E520" s="62">
        <f>SUM(E521:E525)</f>
        <v>36700</v>
      </c>
      <c r="F520" s="62">
        <f>SUM(F521:F525)</f>
        <v>34663.32</v>
      </c>
      <c r="G520" s="116">
        <f t="shared" ref="G520:G536" si="20">F520/E520*100</f>
        <v>94.45046321525885</v>
      </c>
    </row>
    <row r="521" spans="1:7" ht="12.5" x14ac:dyDescent="0.25">
      <c r="A521" s="58"/>
      <c r="B521" s="58"/>
      <c r="C521" s="63" t="s">
        <v>5</v>
      </c>
      <c r="D521" s="64" t="s">
        <v>6</v>
      </c>
      <c r="E521" s="95">
        <f>31900+2500</f>
        <v>34400</v>
      </c>
      <c r="F521" s="95">
        <v>34334.36</v>
      </c>
      <c r="G521" s="117">
        <f t="shared" si="20"/>
        <v>99.809186046511627</v>
      </c>
    </row>
    <row r="522" spans="1:7" ht="12.5" x14ac:dyDescent="0.25">
      <c r="A522" s="58"/>
      <c r="B522" s="58"/>
      <c r="C522" s="63">
        <v>4112</v>
      </c>
      <c r="D522" s="64" t="s">
        <v>8</v>
      </c>
      <c r="E522" s="95">
        <v>340</v>
      </c>
      <c r="F522" s="95">
        <v>0</v>
      </c>
      <c r="G522" s="95">
        <v>0</v>
      </c>
    </row>
    <row r="523" spans="1:7" ht="12.5" x14ac:dyDescent="0.25">
      <c r="A523" s="58"/>
      <c r="B523" s="58"/>
      <c r="C523" s="63">
        <v>4113</v>
      </c>
      <c r="D523" s="64" t="s">
        <v>289</v>
      </c>
      <c r="E523" s="95">
        <v>1100</v>
      </c>
      <c r="F523" s="95">
        <v>0</v>
      </c>
      <c r="G523" s="95">
        <v>0</v>
      </c>
    </row>
    <row r="524" spans="1:7" ht="12.5" x14ac:dyDescent="0.25">
      <c r="A524" s="58"/>
      <c r="B524" s="58"/>
      <c r="C524" s="63">
        <v>4114</v>
      </c>
      <c r="D524" s="64" t="s">
        <v>290</v>
      </c>
      <c r="E524" s="95">
        <v>500</v>
      </c>
      <c r="F524" s="95">
        <v>0</v>
      </c>
      <c r="G524" s="95">
        <v>0</v>
      </c>
    </row>
    <row r="525" spans="1:7" ht="12.5" x14ac:dyDescent="0.25">
      <c r="A525" s="58"/>
      <c r="B525" s="58"/>
      <c r="C525" s="63">
        <v>4115</v>
      </c>
      <c r="D525" s="64" t="s">
        <v>14</v>
      </c>
      <c r="E525" s="95">
        <v>360</v>
      </c>
      <c r="F525" s="95">
        <v>328.96</v>
      </c>
      <c r="G525" s="117">
        <f t="shared" si="20"/>
        <v>91.377777777777766</v>
      </c>
    </row>
    <row r="526" spans="1:7" ht="12.5" x14ac:dyDescent="0.25">
      <c r="A526" s="58"/>
      <c r="B526" s="60">
        <v>412</v>
      </c>
      <c r="C526" s="58"/>
      <c r="D526" s="61" t="s">
        <v>16</v>
      </c>
      <c r="E526" s="96">
        <f>+E527</f>
        <v>1000</v>
      </c>
      <c r="F526" s="96">
        <f>+F527</f>
        <v>0</v>
      </c>
      <c r="G526" s="96">
        <v>0</v>
      </c>
    </row>
    <row r="527" spans="1:7" ht="12.5" x14ac:dyDescent="0.25">
      <c r="A527" s="58"/>
      <c r="B527" s="60"/>
      <c r="C527" s="63">
        <v>4127</v>
      </c>
      <c r="D527" s="64" t="s">
        <v>18</v>
      </c>
      <c r="E527" s="95">
        <v>1000</v>
      </c>
      <c r="F527" s="95">
        <v>0</v>
      </c>
      <c r="G527" s="95">
        <v>0</v>
      </c>
    </row>
    <row r="528" spans="1:7" ht="13.5" customHeight="1" x14ac:dyDescent="0.25">
      <c r="A528" s="58"/>
      <c r="B528" s="60" t="s">
        <v>27</v>
      </c>
      <c r="C528" s="58"/>
      <c r="D528" s="61" t="s">
        <v>28</v>
      </c>
      <c r="E528" s="96">
        <f>+E529+E530+E531</f>
        <v>135300</v>
      </c>
      <c r="F528" s="96">
        <f>+F529+F530+F531</f>
        <v>28910</v>
      </c>
      <c r="G528" s="116">
        <f t="shared" si="20"/>
        <v>21.367331855136733</v>
      </c>
    </row>
    <row r="529" spans="1:7" ht="12.5" x14ac:dyDescent="0.25">
      <c r="A529" s="58"/>
      <c r="B529" s="58"/>
      <c r="C529" s="63" t="s">
        <v>29</v>
      </c>
      <c r="D529" s="64" t="s">
        <v>30</v>
      </c>
      <c r="E529" s="95">
        <v>300</v>
      </c>
      <c r="F529" s="95">
        <v>90</v>
      </c>
      <c r="G529" s="117">
        <f t="shared" si="20"/>
        <v>30</v>
      </c>
    </row>
    <row r="530" spans="1:7" ht="12.5" x14ac:dyDescent="0.25">
      <c r="A530" s="58"/>
      <c r="B530" s="58"/>
      <c r="C530" s="63">
        <v>4147</v>
      </c>
      <c r="D530" s="64" t="s">
        <v>36</v>
      </c>
      <c r="E530" s="95">
        <v>134000</v>
      </c>
      <c r="F530" s="95">
        <v>28820</v>
      </c>
      <c r="G530" s="117">
        <f t="shared" si="20"/>
        <v>21.507462686567163</v>
      </c>
    </row>
    <row r="531" spans="1:7" ht="12.5" x14ac:dyDescent="0.25">
      <c r="A531" s="58"/>
      <c r="B531" s="58"/>
      <c r="C531" s="63">
        <v>4149</v>
      </c>
      <c r="D531" s="64" t="s">
        <v>38</v>
      </c>
      <c r="E531" s="95">
        <v>1000</v>
      </c>
      <c r="F531" s="95">
        <v>0</v>
      </c>
      <c r="G531" s="95">
        <v>0</v>
      </c>
    </row>
    <row r="532" spans="1:7" ht="12.5" x14ac:dyDescent="0.25">
      <c r="A532" s="58"/>
      <c r="B532" s="60" t="s">
        <v>47</v>
      </c>
      <c r="C532" s="58"/>
      <c r="D532" s="61" t="s">
        <v>48</v>
      </c>
      <c r="E532" s="96">
        <f>+E533</f>
        <v>500</v>
      </c>
      <c r="F532" s="96">
        <f>+F533</f>
        <v>0</v>
      </c>
      <c r="G532" s="96">
        <v>0</v>
      </c>
    </row>
    <row r="533" spans="1:7" ht="12.5" x14ac:dyDescent="0.25">
      <c r="A533" s="58"/>
      <c r="B533" s="58"/>
      <c r="C533" s="63" t="s">
        <v>49</v>
      </c>
      <c r="D533" s="64" t="s">
        <v>50</v>
      </c>
      <c r="E533" s="95">
        <v>500</v>
      </c>
      <c r="F533" s="95">
        <v>0</v>
      </c>
      <c r="G533" s="95">
        <v>0</v>
      </c>
    </row>
    <row r="534" spans="1:7" ht="13.5" customHeight="1" x14ac:dyDescent="0.25">
      <c r="A534" s="58"/>
      <c r="B534" s="60" t="s">
        <v>53</v>
      </c>
      <c r="C534" s="58"/>
      <c r="D534" s="61" t="s">
        <v>54</v>
      </c>
      <c r="E534" s="96">
        <f>+E535</f>
        <v>10000</v>
      </c>
      <c r="F534" s="96">
        <f>+F535</f>
        <v>8882.51</v>
      </c>
      <c r="G534" s="116">
        <f t="shared" si="20"/>
        <v>88.825100000000006</v>
      </c>
    </row>
    <row r="535" spans="1:7" ht="12.5" x14ac:dyDescent="0.25">
      <c r="A535" s="58"/>
      <c r="B535" s="58"/>
      <c r="C535" s="63" t="s">
        <v>55</v>
      </c>
      <c r="D535" s="64" t="s">
        <v>56</v>
      </c>
      <c r="E535" s="95">
        <f>+E536</f>
        <v>10000</v>
      </c>
      <c r="F535" s="95">
        <f>+F536</f>
        <v>8882.51</v>
      </c>
      <c r="G535" s="117">
        <f t="shared" si="20"/>
        <v>88.825100000000006</v>
      </c>
    </row>
    <row r="536" spans="1:7" ht="12.75" customHeight="1" x14ac:dyDescent="0.25">
      <c r="A536" s="58"/>
      <c r="B536" s="58"/>
      <c r="C536" s="65" t="s">
        <v>57</v>
      </c>
      <c r="D536" s="64" t="s">
        <v>58</v>
      </c>
      <c r="E536" s="95">
        <v>10000</v>
      </c>
      <c r="F536" s="95">
        <v>8882.51</v>
      </c>
      <c r="G536" s="117">
        <f t="shared" si="20"/>
        <v>88.825100000000006</v>
      </c>
    </row>
    <row r="537" spans="1:7" ht="16.5" customHeight="1" x14ac:dyDescent="0.25">
      <c r="A537" s="194" t="s">
        <v>301</v>
      </c>
      <c r="B537" s="200" t="s">
        <v>228</v>
      </c>
      <c r="C537" s="201"/>
      <c r="D537" s="189" t="s">
        <v>0</v>
      </c>
      <c r="E537" s="194" t="s">
        <v>229</v>
      </c>
      <c r="F537" s="194" t="s">
        <v>230</v>
      </c>
      <c r="G537" s="170" t="s">
        <v>302</v>
      </c>
    </row>
    <row r="538" spans="1:7" ht="11.25" customHeight="1" x14ac:dyDescent="0.25">
      <c r="A538" s="195"/>
      <c r="B538" s="202"/>
      <c r="C538" s="203"/>
      <c r="D538" s="190"/>
      <c r="E538" s="195"/>
      <c r="F538" s="195"/>
      <c r="G538" s="171"/>
    </row>
    <row r="539" spans="1:7" ht="13.5" customHeight="1" x14ac:dyDescent="0.25">
      <c r="A539" s="196"/>
      <c r="B539" s="204"/>
      <c r="C539" s="205"/>
      <c r="D539" s="191"/>
      <c r="E539" s="196"/>
      <c r="F539" s="196"/>
      <c r="G539" s="172"/>
    </row>
    <row r="540" spans="1:7" ht="12.75" customHeight="1" x14ac:dyDescent="0.25">
      <c r="A540" s="57" t="s">
        <v>178</v>
      </c>
      <c r="B540" s="58"/>
      <c r="C540" s="58"/>
      <c r="D540" s="162" t="s">
        <v>179</v>
      </c>
      <c r="E540" s="173">
        <f>E542+E548+E550+E558+E561+E563+E566+E574</f>
        <v>859500</v>
      </c>
      <c r="F540" s="173">
        <f>F542+F548+F550+F558+F561+F563+F566+F574</f>
        <v>749780.6100000001</v>
      </c>
      <c r="G540" s="186">
        <f>F540/E540*100</f>
        <v>87.23450959860385</v>
      </c>
    </row>
    <row r="541" spans="1:7" ht="12.75" customHeight="1" x14ac:dyDescent="0.25">
      <c r="A541" s="57"/>
      <c r="B541" s="58"/>
      <c r="C541" s="58"/>
      <c r="D541" s="163"/>
      <c r="E541" s="174"/>
      <c r="F541" s="174"/>
      <c r="G541" s="187"/>
    </row>
    <row r="542" spans="1:7" ht="12.5" x14ac:dyDescent="0.25">
      <c r="A542" s="58"/>
      <c r="B542" s="60" t="s">
        <v>3</v>
      </c>
      <c r="C542" s="58"/>
      <c r="D542" s="61" t="s">
        <v>4</v>
      </c>
      <c r="E542" s="62">
        <f>SUM(E543:E547)</f>
        <v>377500</v>
      </c>
      <c r="F542" s="62">
        <f>SUM(F543:F547)</f>
        <v>364795.08999999997</v>
      </c>
      <c r="G542" s="116">
        <f t="shared" ref="G542:G576" si="21">F542/E542*100</f>
        <v>96.634460927152304</v>
      </c>
    </row>
    <row r="543" spans="1:7" ht="12.5" x14ac:dyDescent="0.25">
      <c r="A543" s="58"/>
      <c r="B543" s="58"/>
      <c r="C543" s="63" t="s">
        <v>5</v>
      </c>
      <c r="D543" s="64" t="s">
        <v>6</v>
      </c>
      <c r="E543" s="95">
        <f>341000+19200</f>
        <v>360200</v>
      </c>
      <c r="F543" s="95">
        <v>360084.25</v>
      </c>
      <c r="G543" s="117">
        <f t="shared" si="21"/>
        <v>99.967865074958368</v>
      </c>
    </row>
    <row r="544" spans="1:7" ht="12.5" x14ac:dyDescent="0.25">
      <c r="A544" s="58"/>
      <c r="B544" s="58"/>
      <c r="C544" s="63" t="s">
        <v>7</v>
      </c>
      <c r="D544" s="64" t="s">
        <v>8</v>
      </c>
      <c r="E544" s="95">
        <v>700</v>
      </c>
      <c r="F544" s="95">
        <v>2.36</v>
      </c>
      <c r="G544" s="117">
        <f t="shared" si="21"/>
        <v>0.33714285714285713</v>
      </c>
    </row>
    <row r="545" spans="1:7" ht="13.5" customHeight="1" x14ac:dyDescent="0.25">
      <c r="A545" s="58"/>
      <c r="B545" s="58"/>
      <c r="C545" s="63" t="s">
        <v>9</v>
      </c>
      <c r="D545" s="64" t="s">
        <v>10</v>
      </c>
      <c r="E545" s="95">
        <v>11000</v>
      </c>
      <c r="F545" s="95">
        <v>268.43</v>
      </c>
      <c r="G545" s="117">
        <f t="shared" si="21"/>
        <v>2.4402727272727276</v>
      </c>
    </row>
    <row r="546" spans="1:7" ht="12.5" x14ac:dyDescent="0.25">
      <c r="A546" s="58"/>
      <c r="B546" s="58"/>
      <c r="C546" s="63" t="s">
        <v>11</v>
      </c>
      <c r="D546" s="64" t="s">
        <v>12</v>
      </c>
      <c r="E546" s="95">
        <v>5000</v>
      </c>
      <c r="F546" s="95">
        <v>3891.79</v>
      </c>
      <c r="G546" s="117">
        <f t="shared" si="21"/>
        <v>77.835800000000006</v>
      </c>
    </row>
    <row r="547" spans="1:7" ht="13.5" customHeight="1" x14ac:dyDescent="0.25">
      <c r="A547" s="58"/>
      <c r="B547" s="58"/>
      <c r="C547" s="63" t="s">
        <v>13</v>
      </c>
      <c r="D547" s="64" t="s">
        <v>14</v>
      </c>
      <c r="E547" s="95">
        <v>600</v>
      </c>
      <c r="F547" s="95">
        <v>548.26</v>
      </c>
      <c r="G547" s="117">
        <f t="shared" si="21"/>
        <v>91.376666666666665</v>
      </c>
    </row>
    <row r="548" spans="1:7" ht="12.5" x14ac:dyDescent="0.25">
      <c r="A548" s="58"/>
      <c r="B548" s="60" t="s">
        <v>15</v>
      </c>
      <c r="C548" s="58"/>
      <c r="D548" s="61" t="s">
        <v>16</v>
      </c>
      <c r="E548" s="96">
        <f>+E549</f>
        <v>5000</v>
      </c>
      <c r="F548" s="96">
        <f>+F549</f>
        <v>4212.8999999999996</v>
      </c>
      <c r="G548" s="116">
        <f t="shared" si="21"/>
        <v>84.257999999999981</v>
      </c>
    </row>
    <row r="549" spans="1:7" ht="12.5" x14ac:dyDescent="0.25">
      <c r="A549" s="58"/>
      <c r="B549" s="58"/>
      <c r="C549" s="63" t="s">
        <v>17</v>
      </c>
      <c r="D549" s="64" t="s">
        <v>18</v>
      </c>
      <c r="E549" s="95">
        <v>5000</v>
      </c>
      <c r="F549" s="95">
        <v>4212.8999999999996</v>
      </c>
      <c r="G549" s="117">
        <f t="shared" si="21"/>
        <v>84.257999999999981</v>
      </c>
    </row>
    <row r="550" spans="1:7" ht="12.5" x14ac:dyDescent="0.25">
      <c r="A550" s="58"/>
      <c r="B550" s="60" t="s">
        <v>19</v>
      </c>
      <c r="C550" s="58"/>
      <c r="D550" s="61" t="s">
        <v>20</v>
      </c>
      <c r="E550" s="96">
        <f>+E551+E555+E556+E557</f>
        <v>144000</v>
      </c>
      <c r="F550" s="96">
        <f>+F551+F555+F556+F557</f>
        <v>101012.45000000001</v>
      </c>
      <c r="G550" s="116">
        <f t="shared" si="21"/>
        <v>70.147534722222233</v>
      </c>
    </row>
    <row r="551" spans="1:7" ht="12.5" x14ac:dyDescent="0.25">
      <c r="A551" s="58"/>
      <c r="B551" s="58"/>
      <c r="C551" s="63" t="s">
        <v>21</v>
      </c>
      <c r="D551" s="64" t="s">
        <v>22</v>
      </c>
      <c r="E551" s="95">
        <f>+E552+E553+E554</f>
        <v>25000</v>
      </c>
      <c r="F551" s="95">
        <f>+F552+F553+F554</f>
        <v>9263.76</v>
      </c>
      <c r="G551" s="117">
        <f t="shared" si="21"/>
        <v>37.055039999999998</v>
      </c>
    </row>
    <row r="552" spans="1:7" ht="12.5" x14ac:dyDescent="0.25">
      <c r="A552" s="58"/>
      <c r="B552" s="58"/>
      <c r="C552" s="65">
        <v>41311</v>
      </c>
      <c r="D552" s="64" t="s">
        <v>364</v>
      </c>
      <c r="E552" s="95">
        <v>15000</v>
      </c>
      <c r="F552" s="95">
        <v>9263.76</v>
      </c>
      <c r="G552" s="117">
        <f t="shared" si="21"/>
        <v>61.758400000000002</v>
      </c>
    </row>
    <row r="553" spans="1:7" ht="12.5" x14ac:dyDescent="0.25">
      <c r="A553" s="58"/>
      <c r="B553" s="58"/>
      <c r="C553" s="65">
        <v>41312</v>
      </c>
      <c r="D553" s="64" t="s">
        <v>365</v>
      </c>
      <c r="E553" s="95">
        <v>5000</v>
      </c>
      <c r="F553" s="95">
        <v>0</v>
      </c>
      <c r="G553" s="95">
        <v>0</v>
      </c>
    </row>
    <row r="554" spans="1:7" ht="12.5" x14ac:dyDescent="0.25">
      <c r="A554" s="58"/>
      <c r="B554" s="58"/>
      <c r="C554" s="65">
        <v>41313</v>
      </c>
      <c r="D554" s="64" t="s">
        <v>366</v>
      </c>
      <c r="E554" s="95">
        <v>5000</v>
      </c>
      <c r="F554" s="95">
        <v>0</v>
      </c>
      <c r="G554" s="95">
        <v>0</v>
      </c>
    </row>
    <row r="555" spans="1:7" ht="13.5" customHeight="1" x14ac:dyDescent="0.25">
      <c r="A555" s="58"/>
      <c r="B555" s="58"/>
      <c r="C555" s="63" t="s">
        <v>23</v>
      </c>
      <c r="D555" s="64" t="s">
        <v>24</v>
      </c>
      <c r="E555" s="95">
        <f>6700+7300</f>
        <v>14000</v>
      </c>
      <c r="F555" s="95">
        <v>13908.53</v>
      </c>
      <c r="G555" s="117">
        <f t="shared" si="21"/>
        <v>99.346642857142868</v>
      </c>
    </row>
    <row r="556" spans="1:7" ht="12.5" x14ac:dyDescent="0.25">
      <c r="A556" s="58"/>
      <c r="B556" s="58"/>
      <c r="C556" s="63" t="s">
        <v>120</v>
      </c>
      <c r="D556" s="64" t="s">
        <v>121</v>
      </c>
      <c r="E556" s="95">
        <v>35000</v>
      </c>
      <c r="F556" s="95">
        <v>22998.09</v>
      </c>
      <c r="G556" s="117">
        <f t="shared" si="21"/>
        <v>65.708828571428569</v>
      </c>
    </row>
    <row r="557" spans="1:7" ht="12.5" x14ac:dyDescent="0.25">
      <c r="A557" s="58"/>
      <c r="B557" s="58"/>
      <c r="C557" s="63" t="s">
        <v>180</v>
      </c>
      <c r="D557" s="64" t="s">
        <v>181</v>
      </c>
      <c r="E557" s="95">
        <v>70000</v>
      </c>
      <c r="F557" s="95">
        <v>54842.07</v>
      </c>
      <c r="G557" s="117">
        <f t="shared" si="21"/>
        <v>78.345814285714283</v>
      </c>
    </row>
    <row r="558" spans="1:7" ht="12.5" x14ac:dyDescent="0.25">
      <c r="A558" s="58"/>
      <c r="B558" s="60" t="s">
        <v>27</v>
      </c>
      <c r="C558" s="58"/>
      <c r="D558" s="61" t="s">
        <v>28</v>
      </c>
      <c r="E558" s="96">
        <f>+E559+E560</f>
        <v>17700</v>
      </c>
      <c r="F558" s="96">
        <f>+F559+F560</f>
        <v>16533.38</v>
      </c>
      <c r="G558" s="116">
        <f t="shared" si="21"/>
        <v>93.408926553672316</v>
      </c>
    </row>
    <row r="559" spans="1:7" ht="15" customHeight="1" x14ac:dyDescent="0.25">
      <c r="A559" s="58"/>
      <c r="B559" s="58"/>
      <c r="C559" s="63" t="s">
        <v>29</v>
      </c>
      <c r="D559" s="64" t="s">
        <v>30</v>
      </c>
      <c r="E559" s="95">
        <v>10000</v>
      </c>
      <c r="F559" s="95">
        <v>8868.5</v>
      </c>
      <c r="G559" s="117">
        <f t="shared" si="21"/>
        <v>88.685000000000002</v>
      </c>
    </row>
    <row r="560" spans="1:7" ht="13.5" customHeight="1" x14ac:dyDescent="0.25">
      <c r="A560" s="58"/>
      <c r="B560" s="58"/>
      <c r="C560" s="63" t="s">
        <v>37</v>
      </c>
      <c r="D560" s="64" t="s">
        <v>38</v>
      </c>
      <c r="E560" s="95">
        <f>6000+1700</f>
        <v>7700</v>
      </c>
      <c r="F560" s="95">
        <v>7664.88</v>
      </c>
      <c r="G560" s="117">
        <f t="shared" si="21"/>
        <v>99.543896103896103</v>
      </c>
    </row>
    <row r="561" spans="1:7" ht="12.5" x14ac:dyDescent="0.25">
      <c r="A561" s="58"/>
      <c r="B561" s="60" t="s">
        <v>39</v>
      </c>
      <c r="C561" s="58"/>
      <c r="D561" s="61" t="s">
        <v>40</v>
      </c>
      <c r="E561" s="96">
        <f>+E562</f>
        <v>30000</v>
      </c>
      <c r="F561" s="96">
        <f>+F562</f>
        <v>18576.46</v>
      </c>
      <c r="G561" s="116">
        <f t="shared" si="21"/>
        <v>61.921533333333336</v>
      </c>
    </row>
    <row r="562" spans="1:7" ht="12.5" x14ac:dyDescent="0.25">
      <c r="A562" s="58"/>
      <c r="B562" s="58"/>
      <c r="C562" s="63" t="s">
        <v>41</v>
      </c>
      <c r="D562" s="64" t="s">
        <v>42</v>
      </c>
      <c r="E562" s="95">
        <v>30000</v>
      </c>
      <c r="F562" s="95">
        <v>18576.46</v>
      </c>
      <c r="G562" s="117">
        <f t="shared" si="21"/>
        <v>61.921533333333336</v>
      </c>
    </row>
    <row r="563" spans="1:7" ht="13.5" customHeight="1" x14ac:dyDescent="0.25">
      <c r="A563" s="58"/>
      <c r="B563" s="60" t="s">
        <v>88</v>
      </c>
      <c r="C563" s="58"/>
      <c r="D563" s="61" t="s">
        <v>89</v>
      </c>
      <c r="E563" s="96">
        <f>+E564+E565</f>
        <v>18000</v>
      </c>
      <c r="F563" s="96">
        <f>+F564+F565</f>
        <v>7554.82</v>
      </c>
      <c r="G563" s="116">
        <f t="shared" si="21"/>
        <v>41.971222222222224</v>
      </c>
    </row>
    <row r="564" spans="1:7" ht="12.5" x14ac:dyDescent="0.25">
      <c r="A564" s="58"/>
      <c r="B564" s="58"/>
      <c r="C564" s="63" t="s">
        <v>182</v>
      </c>
      <c r="D564" s="64" t="s">
        <v>183</v>
      </c>
      <c r="E564" s="95">
        <v>12000</v>
      </c>
      <c r="F564" s="95">
        <v>4557.3999999999996</v>
      </c>
      <c r="G564" s="117">
        <f t="shared" si="21"/>
        <v>37.978333333333332</v>
      </c>
    </row>
    <row r="565" spans="1:7" ht="12.5" x14ac:dyDescent="0.25">
      <c r="A565" s="58"/>
      <c r="B565" s="58"/>
      <c r="C565" s="63" t="s">
        <v>122</v>
      </c>
      <c r="D565" s="64" t="s">
        <v>123</v>
      </c>
      <c r="E565" s="95">
        <v>6000</v>
      </c>
      <c r="F565" s="95">
        <v>2997.42</v>
      </c>
      <c r="G565" s="117">
        <f t="shared" si="21"/>
        <v>49.957000000000001</v>
      </c>
    </row>
    <row r="566" spans="1:7" ht="12.5" x14ac:dyDescent="0.25">
      <c r="A566" s="58"/>
      <c r="B566" s="60" t="s">
        <v>47</v>
      </c>
      <c r="C566" s="58"/>
      <c r="D566" s="61" t="s">
        <v>48</v>
      </c>
      <c r="E566" s="96">
        <f>+E567+E569+E570</f>
        <v>87300</v>
      </c>
      <c r="F566" s="96">
        <f>+F567+F569+F570</f>
        <v>61355.71</v>
      </c>
      <c r="G566" s="116">
        <f t="shared" si="21"/>
        <v>70.281454753722798</v>
      </c>
    </row>
    <row r="567" spans="1:7" ht="12.5" x14ac:dyDescent="0.25">
      <c r="A567" s="58"/>
      <c r="B567" s="58"/>
      <c r="C567" s="63" t="s">
        <v>49</v>
      </c>
      <c r="D567" s="64" t="s">
        <v>50</v>
      </c>
      <c r="E567" s="95">
        <f>+E568</f>
        <v>11300</v>
      </c>
      <c r="F567" s="95">
        <v>11249.57</v>
      </c>
      <c r="G567" s="117">
        <f t="shared" si="21"/>
        <v>99.553716814159287</v>
      </c>
    </row>
    <row r="568" spans="1:7" ht="12.5" x14ac:dyDescent="0.25">
      <c r="A568" s="58"/>
      <c r="B568" s="58"/>
      <c r="C568" s="65">
        <v>44153</v>
      </c>
      <c r="D568" s="64" t="s">
        <v>387</v>
      </c>
      <c r="E568" s="95">
        <v>11300</v>
      </c>
      <c r="F568" s="95">
        <v>9851.08</v>
      </c>
      <c r="G568" s="117">
        <f t="shared" si="21"/>
        <v>87.177699115044248</v>
      </c>
    </row>
    <row r="569" spans="1:7" ht="12.5" x14ac:dyDescent="0.25">
      <c r="A569" s="58"/>
      <c r="B569" s="58"/>
      <c r="C569" s="63" t="s">
        <v>51</v>
      </c>
      <c r="D569" s="64" t="s">
        <v>52</v>
      </c>
      <c r="E569" s="95">
        <v>9500</v>
      </c>
      <c r="F569" s="95">
        <v>0</v>
      </c>
      <c r="G569" s="95">
        <v>0</v>
      </c>
    </row>
    <row r="570" spans="1:7" ht="12.5" x14ac:dyDescent="0.25">
      <c r="A570" s="58"/>
      <c r="B570" s="58"/>
      <c r="C570" s="63" t="s">
        <v>131</v>
      </c>
      <c r="D570" s="64" t="s">
        <v>132</v>
      </c>
      <c r="E570" s="95">
        <f>+E571+E572+E573</f>
        <v>66500</v>
      </c>
      <c r="F570" s="95">
        <f>+F571+F572+F573</f>
        <v>50106.14</v>
      </c>
      <c r="G570" s="117">
        <f t="shared" si="21"/>
        <v>75.347578947368419</v>
      </c>
    </row>
    <row r="571" spans="1:7" ht="13.5" customHeight="1" x14ac:dyDescent="0.25">
      <c r="A571" s="58"/>
      <c r="B571" s="58"/>
      <c r="C571" s="65">
        <v>44191</v>
      </c>
      <c r="D571" s="64" t="s">
        <v>315</v>
      </c>
      <c r="E571" s="95">
        <v>2500</v>
      </c>
      <c r="F571" s="95">
        <v>2493.5300000000002</v>
      </c>
      <c r="G571" s="117">
        <f t="shared" si="21"/>
        <v>99.741200000000006</v>
      </c>
    </row>
    <row r="572" spans="1:7" ht="12.5" x14ac:dyDescent="0.25">
      <c r="A572" s="58"/>
      <c r="B572" s="58"/>
      <c r="C572" s="65">
        <v>44192</v>
      </c>
      <c r="D572" s="64" t="s">
        <v>316</v>
      </c>
      <c r="E572" s="95">
        <v>19000</v>
      </c>
      <c r="F572" s="95">
        <v>18026.7</v>
      </c>
      <c r="G572" s="117">
        <f t="shared" si="21"/>
        <v>94.877368421052637</v>
      </c>
    </row>
    <row r="573" spans="1:7" ht="12.5" x14ac:dyDescent="0.25">
      <c r="A573" s="58"/>
      <c r="B573" s="58"/>
      <c r="C573" s="65">
        <v>44193</v>
      </c>
      <c r="D573" s="64" t="s">
        <v>317</v>
      </c>
      <c r="E573" s="95">
        <v>45000</v>
      </c>
      <c r="F573" s="95">
        <v>29585.91</v>
      </c>
      <c r="G573" s="117">
        <f t="shared" si="21"/>
        <v>65.746466666666663</v>
      </c>
    </row>
    <row r="574" spans="1:7" ht="12.5" x14ac:dyDescent="0.25">
      <c r="A574" s="58"/>
      <c r="B574" s="60" t="s">
        <v>53</v>
      </c>
      <c r="C574" s="58"/>
      <c r="D574" s="61" t="s">
        <v>54</v>
      </c>
      <c r="E574" s="96">
        <f>+E575</f>
        <v>180000</v>
      </c>
      <c r="F574" s="96">
        <f>+F575</f>
        <v>175739.8</v>
      </c>
      <c r="G574" s="116">
        <f t="shared" si="21"/>
        <v>97.633222222222216</v>
      </c>
    </row>
    <row r="575" spans="1:7" ht="12.5" x14ac:dyDescent="0.25">
      <c r="A575" s="58"/>
      <c r="B575" s="58"/>
      <c r="C575" s="63" t="s">
        <v>55</v>
      </c>
      <c r="D575" s="64" t="s">
        <v>56</v>
      </c>
      <c r="E575" s="95">
        <f>+E576</f>
        <v>180000</v>
      </c>
      <c r="F575" s="95">
        <f>+F576</f>
        <v>175739.8</v>
      </c>
      <c r="G575" s="117">
        <f t="shared" si="21"/>
        <v>97.633222222222216</v>
      </c>
    </row>
    <row r="576" spans="1:7" ht="17.25" customHeight="1" x14ac:dyDescent="0.25">
      <c r="A576" s="58"/>
      <c r="B576" s="58"/>
      <c r="C576" s="65" t="s">
        <v>57</v>
      </c>
      <c r="D576" s="64" t="s">
        <v>58</v>
      </c>
      <c r="E576" s="95">
        <v>180000</v>
      </c>
      <c r="F576" s="95">
        <v>175739.8</v>
      </c>
      <c r="G576" s="117">
        <f t="shared" si="21"/>
        <v>97.633222222222216</v>
      </c>
    </row>
    <row r="577" spans="1:7" ht="16.5" customHeight="1" x14ac:dyDescent="0.25">
      <c r="A577" s="153" t="s">
        <v>301</v>
      </c>
      <c r="B577" s="153" t="s">
        <v>228</v>
      </c>
      <c r="C577" s="153"/>
      <c r="D577" s="161" t="s">
        <v>0</v>
      </c>
      <c r="E577" s="153" t="s">
        <v>229</v>
      </c>
      <c r="F577" s="153" t="s">
        <v>230</v>
      </c>
      <c r="G577" s="188" t="s">
        <v>302</v>
      </c>
    </row>
    <row r="578" spans="1:7" ht="11.25" customHeight="1" x14ac:dyDescent="0.25">
      <c r="A578" s="153"/>
      <c r="B578" s="153"/>
      <c r="C578" s="153"/>
      <c r="D578" s="161"/>
      <c r="E578" s="153"/>
      <c r="F578" s="153"/>
      <c r="G578" s="188"/>
    </row>
    <row r="579" spans="1:7" ht="13.5" customHeight="1" x14ac:dyDescent="0.25">
      <c r="A579" s="153"/>
      <c r="B579" s="153"/>
      <c r="C579" s="153"/>
      <c r="D579" s="161"/>
      <c r="E579" s="153"/>
      <c r="F579" s="153"/>
      <c r="G579" s="188"/>
    </row>
    <row r="580" spans="1:7" ht="12.5" x14ac:dyDescent="0.25">
      <c r="A580" s="57" t="s">
        <v>184</v>
      </c>
      <c r="B580" s="58"/>
      <c r="C580" s="58"/>
      <c r="D580" s="162" t="s">
        <v>185</v>
      </c>
      <c r="E580" s="173">
        <f>E582+E588+E590+E593+E595</f>
        <v>79050</v>
      </c>
      <c r="F580" s="173">
        <f>F582+F588+F590+F593+F595</f>
        <v>74085.510000000009</v>
      </c>
      <c r="G580" s="186">
        <f>F580/E580*100</f>
        <v>93.71981024667933</v>
      </c>
    </row>
    <row r="581" spans="1:7" ht="12.5" x14ac:dyDescent="0.25">
      <c r="A581" s="57"/>
      <c r="B581" s="58"/>
      <c r="C581" s="58"/>
      <c r="D581" s="163"/>
      <c r="E581" s="174"/>
      <c r="F581" s="174"/>
      <c r="G581" s="187"/>
    </row>
    <row r="582" spans="1:7" ht="12.5" x14ac:dyDescent="0.25">
      <c r="A582" s="58"/>
      <c r="B582" s="60" t="s">
        <v>3</v>
      </c>
      <c r="C582" s="58"/>
      <c r="D582" s="61" t="s">
        <v>4</v>
      </c>
      <c r="E582" s="62">
        <f>SUM(E583:E587)</f>
        <v>53150</v>
      </c>
      <c r="F582" s="62">
        <f>SUM(F583:F587)</f>
        <v>50320.76</v>
      </c>
      <c r="G582" s="116">
        <f t="shared" ref="G582:G597" si="22">F582/E582*100</f>
        <v>94.676876763875825</v>
      </c>
    </row>
    <row r="583" spans="1:7" ht="12.5" x14ac:dyDescent="0.25">
      <c r="A583" s="58"/>
      <c r="B583" s="58"/>
      <c r="C583" s="63" t="s">
        <v>5</v>
      </c>
      <c r="D583" s="64" t="s">
        <v>6</v>
      </c>
      <c r="E583" s="95">
        <f>47850+2200</f>
        <v>50050</v>
      </c>
      <c r="F583" s="95">
        <v>49991.8</v>
      </c>
      <c r="G583" s="117">
        <f t="shared" si="22"/>
        <v>99.883716283716296</v>
      </c>
    </row>
    <row r="584" spans="1:7" ht="12.5" x14ac:dyDescent="0.25">
      <c r="A584" s="58"/>
      <c r="B584" s="58"/>
      <c r="C584" s="63" t="s">
        <v>7</v>
      </c>
      <c r="D584" s="64" t="s">
        <v>8</v>
      </c>
      <c r="E584" s="95">
        <v>400</v>
      </c>
      <c r="F584" s="95">
        <v>0</v>
      </c>
      <c r="G584" s="95">
        <v>0</v>
      </c>
    </row>
    <row r="585" spans="1:7" ht="13.5" customHeight="1" x14ac:dyDescent="0.25">
      <c r="A585" s="58"/>
      <c r="B585" s="58"/>
      <c r="C585" s="63" t="s">
        <v>9</v>
      </c>
      <c r="D585" s="64" t="s">
        <v>10</v>
      </c>
      <c r="E585" s="95">
        <v>1660</v>
      </c>
      <c r="F585" s="95">
        <v>0</v>
      </c>
      <c r="G585" s="95">
        <v>0</v>
      </c>
    </row>
    <row r="586" spans="1:7" ht="12.5" x14ac:dyDescent="0.25">
      <c r="A586" s="58"/>
      <c r="B586" s="58"/>
      <c r="C586" s="63" t="s">
        <v>11</v>
      </c>
      <c r="D586" s="64" t="s">
        <v>12</v>
      </c>
      <c r="E586" s="95">
        <v>680</v>
      </c>
      <c r="F586" s="95">
        <v>0</v>
      </c>
      <c r="G586" s="95">
        <v>0</v>
      </c>
    </row>
    <row r="587" spans="1:7" ht="13.5" customHeight="1" x14ac:dyDescent="0.25">
      <c r="A587" s="58"/>
      <c r="B587" s="58"/>
      <c r="C587" s="63" t="s">
        <v>13</v>
      </c>
      <c r="D587" s="64" t="s">
        <v>14</v>
      </c>
      <c r="E587" s="95">
        <v>360</v>
      </c>
      <c r="F587" s="95">
        <v>328.96</v>
      </c>
      <c r="G587" s="117">
        <f t="shared" si="22"/>
        <v>91.377777777777766</v>
      </c>
    </row>
    <row r="588" spans="1:7" ht="12.5" x14ac:dyDescent="0.25">
      <c r="A588" s="58"/>
      <c r="B588" s="60" t="s">
        <v>15</v>
      </c>
      <c r="C588" s="58"/>
      <c r="D588" s="61" t="s">
        <v>16</v>
      </c>
      <c r="E588" s="96">
        <f>+E589</f>
        <v>1000</v>
      </c>
      <c r="F588" s="96">
        <f>+F589</f>
        <v>0</v>
      </c>
      <c r="G588" s="96">
        <v>0</v>
      </c>
    </row>
    <row r="589" spans="1:7" ht="12.5" x14ac:dyDescent="0.25">
      <c r="A589" s="58"/>
      <c r="B589" s="58"/>
      <c r="C589" s="63" t="s">
        <v>17</v>
      </c>
      <c r="D589" s="64" t="s">
        <v>18</v>
      </c>
      <c r="E589" s="95">
        <v>1000</v>
      </c>
      <c r="F589" s="95">
        <v>0</v>
      </c>
      <c r="G589" s="95">
        <v>0</v>
      </c>
    </row>
    <row r="590" spans="1:7" ht="12.5" x14ac:dyDescent="0.25">
      <c r="A590" s="58"/>
      <c r="B590" s="60" t="s">
        <v>27</v>
      </c>
      <c r="C590" s="58"/>
      <c r="D590" s="61" t="s">
        <v>28</v>
      </c>
      <c r="E590" s="96">
        <f>+E591+E592</f>
        <v>1000</v>
      </c>
      <c r="F590" s="96">
        <f>+F591+F592</f>
        <v>216</v>
      </c>
      <c r="G590" s="116">
        <f t="shared" si="22"/>
        <v>21.6</v>
      </c>
    </row>
    <row r="591" spans="1:7" ht="13.5" customHeight="1" x14ac:dyDescent="0.25">
      <c r="A591" s="58"/>
      <c r="B591" s="58"/>
      <c r="C591" s="63" t="s">
        <v>29</v>
      </c>
      <c r="D591" s="64" t="s">
        <v>30</v>
      </c>
      <c r="E591" s="95">
        <v>500</v>
      </c>
      <c r="F591" s="95">
        <v>216</v>
      </c>
      <c r="G591" s="117">
        <f t="shared" si="22"/>
        <v>43.2</v>
      </c>
    </row>
    <row r="592" spans="1:7" ht="13.5" customHeight="1" x14ac:dyDescent="0.25">
      <c r="A592" s="58"/>
      <c r="B592" s="58"/>
      <c r="C592" s="63" t="s">
        <v>37</v>
      </c>
      <c r="D592" s="64" t="s">
        <v>38</v>
      </c>
      <c r="E592" s="95">
        <v>500</v>
      </c>
      <c r="F592" s="95">
        <v>0</v>
      </c>
      <c r="G592" s="95">
        <v>0</v>
      </c>
    </row>
    <row r="593" spans="1:7" ht="12.5" x14ac:dyDescent="0.25">
      <c r="A593" s="58"/>
      <c r="B593" s="60" t="s">
        <v>47</v>
      </c>
      <c r="C593" s="58"/>
      <c r="D593" s="61" t="s">
        <v>48</v>
      </c>
      <c r="E593" s="96">
        <f>+E594</f>
        <v>300</v>
      </c>
      <c r="F593" s="96">
        <f>+F594</f>
        <v>0</v>
      </c>
      <c r="G593" s="96">
        <v>0</v>
      </c>
    </row>
    <row r="594" spans="1:7" ht="12.5" x14ac:dyDescent="0.25">
      <c r="A594" s="58"/>
      <c r="B594" s="58"/>
      <c r="C594" s="63" t="s">
        <v>49</v>
      </c>
      <c r="D594" s="64" t="s">
        <v>50</v>
      </c>
      <c r="E594" s="95">
        <v>300</v>
      </c>
      <c r="F594" s="95">
        <v>0</v>
      </c>
      <c r="G594" s="95">
        <v>0</v>
      </c>
    </row>
    <row r="595" spans="1:7" ht="14.25" customHeight="1" x14ac:dyDescent="0.25">
      <c r="A595" s="58"/>
      <c r="B595" s="60" t="s">
        <v>53</v>
      </c>
      <c r="C595" s="58"/>
      <c r="D595" s="61" t="s">
        <v>54</v>
      </c>
      <c r="E595" s="96">
        <f>+E596</f>
        <v>23600</v>
      </c>
      <c r="F595" s="96">
        <f>+F596</f>
        <v>23548.75</v>
      </c>
      <c r="G595" s="116">
        <f t="shared" si="22"/>
        <v>99.782838983050851</v>
      </c>
    </row>
    <row r="596" spans="1:7" ht="12.5" x14ac:dyDescent="0.25">
      <c r="A596" s="58"/>
      <c r="B596" s="58"/>
      <c r="C596" s="63" t="s">
        <v>55</v>
      </c>
      <c r="D596" s="64" t="s">
        <v>56</v>
      </c>
      <c r="E596" s="95">
        <f>+E597</f>
        <v>23600</v>
      </c>
      <c r="F596" s="95">
        <f>+F597</f>
        <v>23548.75</v>
      </c>
      <c r="G596" s="117">
        <f t="shared" si="22"/>
        <v>99.782838983050851</v>
      </c>
    </row>
    <row r="597" spans="1:7" ht="17.25" customHeight="1" x14ac:dyDescent="0.25">
      <c r="A597" s="58"/>
      <c r="B597" s="58"/>
      <c r="C597" s="65" t="s">
        <v>57</v>
      </c>
      <c r="D597" s="64" t="s">
        <v>58</v>
      </c>
      <c r="E597" s="95">
        <v>23600</v>
      </c>
      <c r="F597" s="95">
        <v>23548.75</v>
      </c>
      <c r="G597" s="117">
        <f t="shared" si="22"/>
        <v>99.782838983050851</v>
      </c>
    </row>
    <row r="598" spans="1:7" ht="33" customHeight="1" x14ac:dyDescent="0.25">
      <c r="A598" s="153" t="s">
        <v>301</v>
      </c>
      <c r="B598" s="153" t="s">
        <v>228</v>
      </c>
      <c r="C598" s="153"/>
      <c r="D598" s="161" t="s">
        <v>0</v>
      </c>
      <c r="E598" s="153" t="s">
        <v>229</v>
      </c>
      <c r="F598" s="153" t="s">
        <v>230</v>
      </c>
      <c r="G598" s="188" t="s">
        <v>302</v>
      </c>
    </row>
    <row r="599" spans="1:7" ht="10.5" customHeight="1" x14ac:dyDescent="0.25">
      <c r="A599" s="153"/>
      <c r="B599" s="153"/>
      <c r="C599" s="153"/>
      <c r="D599" s="161"/>
      <c r="E599" s="153"/>
      <c r="F599" s="153"/>
      <c r="G599" s="188"/>
    </row>
    <row r="600" spans="1:7" ht="13.5" customHeight="1" x14ac:dyDescent="0.25">
      <c r="A600" s="153"/>
      <c r="B600" s="153"/>
      <c r="C600" s="153"/>
      <c r="D600" s="161"/>
      <c r="E600" s="153"/>
      <c r="F600" s="153"/>
      <c r="G600" s="188"/>
    </row>
    <row r="601" spans="1:7" ht="12.5" x14ac:dyDescent="0.25">
      <c r="A601" s="57" t="s">
        <v>186</v>
      </c>
      <c r="B601" s="58"/>
      <c r="C601" s="58"/>
      <c r="D601" s="162" t="s">
        <v>187</v>
      </c>
      <c r="E601" s="173">
        <f>E603+E609+E611+E618+E623+E627</f>
        <v>915720</v>
      </c>
      <c r="F601" s="173">
        <f>F603+F609+F611+F618+F623+F627</f>
        <v>888855.26</v>
      </c>
      <c r="G601" s="186">
        <f>F601/E601*100</f>
        <v>97.066271349320758</v>
      </c>
    </row>
    <row r="602" spans="1:7" ht="12.5" x14ac:dyDescent="0.25">
      <c r="A602" s="57"/>
      <c r="B602" s="58"/>
      <c r="C602" s="58"/>
      <c r="D602" s="163"/>
      <c r="E602" s="174"/>
      <c r="F602" s="174"/>
      <c r="G602" s="187"/>
    </row>
    <row r="603" spans="1:7" ht="12.5" x14ac:dyDescent="0.25">
      <c r="A603" s="58"/>
      <c r="B603" s="60" t="s">
        <v>3</v>
      </c>
      <c r="C603" s="58"/>
      <c r="D603" s="61" t="s">
        <v>4</v>
      </c>
      <c r="E603" s="62">
        <f>SUM(E604:E608)</f>
        <v>102420</v>
      </c>
      <c r="F603" s="62">
        <f>SUM(F604:F608)</f>
        <v>97752.87</v>
      </c>
      <c r="G603" s="116">
        <f t="shared" ref="G603:G629" si="23">F603/E603*100</f>
        <v>95.443145869947273</v>
      </c>
    </row>
    <row r="604" spans="1:7" ht="12.5" x14ac:dyDescent="0.25">
      <c r="A604" s="58"/>
      <c r="B604" s="58"/>
      <c r="C604" s="63" t="s">
        <v>5</v>
      </c>
      <c r="D604" s="64" t="s">
        <v>6</v>
      </c>
      <c r="E604" s="95">
        <f>93500+3900</f>
        <v>97400</v>
      </c>
      <c r="F604" s="95">
        <v>97314.26</v>
      </c>
      <c r="G604" s="117">
        <f t="shared" si="23"/>
        <v>99.91197125256673</v>
      </c>
    </row>
    <row r="605" spans="1:7" ht="12.5" x14ac:dyDescent="0.25">
      <c r="A605" s="58"/>
      <c r="B605" s="58"/>
      <c r="C605" s="63" t="s">
        <v>7</v>
      </c>
      <c r="D605" s="64" t="s">
        <v>8</v>
      </c>
      <c r="E605" s="95">
        <v>580</v>
      </c>
      <c r="F605" s="95">
        <v>0</v>
      </c>
      <c r="G605" s="95">
        <v>0</v>
      </c>
    </row>
    <row r="606" spans="1:7" ht="13.5" customHeight="1" x14ac:dyDescent="0.25">
      <c r="A606" s="58"/>
      <c r="B606" s="58"/>
      <c r="C606" s="63" t="s">
        <v>9</v>
      </c>
      <c r="D606" s="64" t="s">
        <v>10</v>
      </c>
      <c r="E606" s="95">
        <v>2800</v>
      </c>
      <c r="F606" s="95">
        <v>0</v>
      </c>
      <c r="G606" s="95">
        <v>0</v>
      </c>
    </row>
    <row r="607" spans="1:7" ht="12.5" x14ac:dyDescent="0.25">
      <c r="A607" s="58"/>
      <c r="B607" s="58"/>
      <c r="C607" s="63" t="s">
        <v>11</v>
      </c>
      <c r="D607" s="64" t="s">
        <v>12</v>
      </c>
      <c r="E607" s="95">
        <v>1160</v>
      </c>
      <c r="F607" s="95">
        <v>0</v>
      </c>
      <c r="G607" s="95">
        <v>0</v>
      </c>
    </row>
    <row r="608" spans="1:7" ht="13.5" customHeight="1" x14ac:dyDescent="0.25">
      <c r="A608" s="58"/>
      <c r="B608" s="58"/>
      <c r="C608" s="63" t="s">
        <v>13</v>
      </c>
      <c r="D608" s="64" t="s">
        <v>14</v>
      </c>
      <c r="E608" s="95">
        <v>480</v>
      </c>
      <c r="F608" s="95">
        <v>438.61</v>
      </c>
      <c r="G608" s="117">
        <f t="shared" si="23"/>
        <v>91.377083333333331</v>
      </c>
    </row>
    <row r="609" spans="1:15" ht="12.5" x14ac:dyDescent="0.25">
      <c r="A609" s="58"/>
      <c r="B609" s="60" t="s">
        <v>15</v>
      </c>
      <c r="C609" s="58"/>
      <c r="D609" s="61" t="s">
        <v>16</v>
      </c>
      <c r="E609" s="96">
        <f>+E610</f>
        <v>1000</v>
      </c>
      <c r="F609" s="96">
        <f>+F610</f>
        <v>0</v>
      </c>
      <c r="G609" s="96">
        <v>0</v>
      </c>
    </row>
    <row r="610" spans="1:15" ht="12.5" x14ac:dyDescent="0.25">
      <c r="A610" s="58"/>
      <c r="B610" s="58"/>
      <c r="C610" s="63" t="s">
        <v>17</v>
      </c>
      <c r="D610" s="64" t="s">
        <v>18</v>
      </c>
      <c r="E610" s="95">
        <v>1000</v>
      </c>
      <c r="F610" s="95">
        <v>0</v>
      </c>
      <c r="G610" s="95">
        <v>0</v>
      </c>
    </row>
    <row r="611" spans="1:15" ht="12.5" x14ac:dyDescent="0.25">
      <c r="A611" s="58"/>
      <c r="B611" s="60" t="s">
        <v>27</v>
      </c>
      <c r="C611" s="58"/>
      <c r="D611" s="61" t="s">
        <v>28</v>
      </c>
      <c r="E611" s="96">
        <f>+E612+E613</f>
        <v>32800</v>
      </c>
      <c r="F611" s="96">
        <f>+F612+F613</f>
        <v>16677.900000000001</v>
      </c>
      <c r="G611" s="116">
        <f t="shared" si="23"/>
        <v>50.84725609756098</v>
      </c>
    </row>
    <row r="612" spans="1:15" ht="13.5" customHeight="1" x14ac:dyDescent="0.25">
      <c r="A612" s="58"/>
      <c r="B612" s="58"/>
      <c r="C612" s="63" t="s">
        <v>29</v>
      </c>
      <c r="D612" s="64" t="s">
        <v>30</v>
      </c>
      <c r="E612" s="95">
        <v>300</v>
      </c>
      <c r="F612" s="95">
        <v>180.5</v>
      </c>
      <c r="G612" s="117">
        <f t="shared" si="23"/>
        <v>60.166666666666671</v>
      </c>
    </row>
    <row r="613" spans="1:15" ht="12.5" x14ac:dyDescent="0.25">
      <c r="A613" s="58"/>
      <c r="B613" s="58"/>
      <c r="C613" s="63" t="s">
        <v>37</v>
      </c>
      <c r="D613" s="64" t="s">
        <v>38</v>
      </c>
      <c r="E613" s="95">
        <f>+E614+E615+E616+E617</f>
        <v>32500</v>
      </c>
      <c r="F613" s="95">
        <v>16497.400000000001</v>
      </c>
      <c r="G613" s="117">
        <f t="shared" si="23"/>
        <v>50.761230769230771</v>
      </c>
    </row>
    <row r="614" spans="1:15" ht="12.5" x14ac:dyDescent="0.25">
      <c r="A614" s="58"/>
      <c r="B614" s="58"/>
      <c r="C614" s="100" t="s">
        <v>374</v>
      </c>
      <c r="D614" s="99" t="s">
        <v>373</v>
      </c>
      <c r="E614" s="95">
        <v>1000</v>
      </c>
      <c r="F614" s="95">
        <v>0</v>
      </c>
      <c r="G614" s="95">
        <v>0</v>
      </c>
    </row>
    <row r="615" spans="1:15" ht="12.5" x14ac:dyDescent="0.25">
      <c r="A615" s="58"/>
      <c r="B615" s="58"/>
      <c r="C615" s="100" t="s">
        <v>375</v>
      </c>
      <c r="D615" s="99" t="s">
        <v>378</v>
      </c>
      <c r="E615" s="95">
        <v>10000</v>
      </c>
      <c r="F615" s="95">
        <v>9522.7000000000007</v>
      </c>
      <c r="G615" s="117">
        <f t="shared" si="23"/>
        <v>95.227000000000004</v>
      </c>
    </row>
    <row r="616" spans="1:15" ht="12.5" x14ac:dyDescent="0.25">
      <c r="A616" s="58"/>
      <c r="B616" s="58"/>
      <c r="C616" s="100" t="s">
        <v>376</v>
      </c>
      <c r="D616" s="99" t="s">
        <v>379</v>
      </c>
      <c r="E616" s="95">
        <v>15000</v>
      </c>
      <c r="F616" s="95">
        <v>4100</v>
      </c>
      <c r="G616" s="117">
        <f t="shared" si="23"/>
        <v>27.333333333333332</v>
      </c>
    </row>
    <row r="617" spans="1:15" ht="12.5" x14ac:dyDescent="0.25">
      <c r="A617" s="58"/>
      <c r="B617" s="58"/>
      <c r="C617" s="100" t="s">
        <v>377</v>
      </c>
      <c r="D617" s="99" t="s">
        <v>38</v>
      </c>
      <c r="E617" s="95">
        <v>6500</v>
      </c>
      <c r="F617" s="95">
        <v>2675.5</v>
      </c>
      <c r="G617" s="117">
        <f t="shared" si="23"/>
        <v>41.161538461538463</v>
      </c>
    </row>
    <row r="618" spans="1:15" ht="12.5" x14ac:dyDescent="0.25">
      <c r="A618" s="58"/>
      <c r="B618" s="60" t="s">
        <v>78</v>
      </c>
      <c r="C618" s="58"/>
      <c r="D618" s="61" t="s">
        <v>79</v>
      </c>
      <c r="E618" s="96">
        <f>+E619</f>
        <v>700000</v>
      </c>
      <c r="F618" s="96">
        <f>+F619</f>
        <v>700000</v>
      </c>
      <c r="G618" s="116">
        <f t="shared" si="23"/>
        <v>100</v>
      </c>
    </row>
    <row r="619" spans="1:15" ht="13" x14ac:dyDescent="0.25">
      <c r="A619" s="58"/>
      <c r="B619" s="58"/>
      <c r="C619" s="63" t="s">
        <v>80</v>
      </c>
      <c r="D619" s="64" t="s">
        <v>81</v>
      </c>
      <c r="E619" s="95">
        <f>+E620+E621+E622</f>
        <v>700000</v>
      </c>
      <c r="F619" s="95">
        <f>+F620+F621+F622</f>
        <v>700000</v>
      </c>
      <c r="G619" s="117">
        <f t="shared" si="23"/>
        <v>100</v>
      </c>
      <c r="O619" s="120"/>
    </row>
    <row r="620" spans="1:15" ht="13.5" customHeight="1" x14ac:dyDescent="0.25">
      <c r="A620" s="58"/>
      <c r="B620" s="58"/>
      <c r="C620" s="65" t="s">
        <v>188</v>
      </c>
      <c r="D620" s="64" t="s">
        <v>189</v>
      </c>
      <c r="E620" s="95">
        <v>460000</v>
      </c>
      <c r="F620" s="95">
        <v>460000</v>
      </c>
      <c r="G620" s="117">
        <f t="shared" si="23"/>
        <v>100</v>
      </c>
    </row>
    <row r="621" spans="1:15" ht="12.5" x14ac:dyDescent="0.25">
      <c r="A621" s="58"/>
      <c r="B621" s="58"/>
      <c r="C621" s="65" t="s">
        <v>190</v>
      </c>
      <c r="D621" s="64" t="s">
        <v>191</v>
      </c>
      <c r="E621" s="95">
        <v>5000</v>
      </c>
      <c r="F621" s="95">
        <v>5000</v>
      </c>
      <c r="G621" s="117">
        <f t="shared" si="23"/>
        <v>100</v>
      </c>
    </row>
    <row r="622" spans="1:15" ht="12.5" x14ac:dyDescent="0.25">
      <c r="A622" s="58"/>
      <c r="B622" s="58"/>
      <c r="C622" s="73">
        <v>43268</v>
      </c>
      <c r="D622" s="74" t="s">
        <v>328</v>
      </c>
      <c r="E622" s="95">
        <v>235000</v>
      </c>
      <c r="F622" s="95">
        <v>235000</v>
      </c>
      <c r="G622" s="117">
        <f t="shared" si="23"/>
        <v>100</v>
      </c>
    </row>
    <row r="623" spans="1:15" ht="13.5" customHeight="1" x14ac:dyDescent="0.25">
      <c r="A623" s="58"/>
      <c r="B623" s="60" t="s">
        <v>47</v>
      </c>
      <c r="C623" s="58"/>
      <c r="D623" s="61" t="s">
        <v>48</v>
      </c>
      <c r="E623" s="96">
        <f>+E624+E625+E626</f>
        <v>9500</v>
      </c>
      <c r="F623" s="96">
        <f>+F624+F625+F626</f>
        <v>5948.36</v>
      </c>
      <c r="G623" s="116">
        <f t="shared" si="23"/>
        <v>62.614315789473686</v>
      </c>
    </row>
    <row r="624" spans="1:15" ht="13.5" customHeight="1" x14ac:dyDescent="0.25">
      <c r="A624" s="58"/>
      <c r="B624" s="60"/>
      <c r="C624" s="63">
        <v>4412</v>
      </c>
      <c r="D624" s="64" t="s">
        <v>171</v>
      </c>
      <c r="E624" s="95">
        <v>6000</v>
      </c>
      <c r="F624" s="95">
        <v>5948.36</v>
      </c>
      <c r="G624" s="117">
        <f t="shared" si="23"/>
        <v>99.139333333333326</v>
      </c>
    </row>
    <row r="625" spans="1:13" ht="12.5" x14ac:dyDescent="0.25">
      <c r="A625" s="58"/>
      <c r="B625" s="58"/>
      <c r="C625" s="63" t="s">
        <v>49</v>
      </c>
      <c r="D625" s="64" t="s">
        <v>50</v>
      </c>
      <c r="E625" s="95">
        <v>500</v>
      </c>
      <c r="F625" s="95">
        <v>0</v>
      </c>
      <c r="G625" s="95">
        <v>0</v>
      </c>
    </row>
    <row r="626" spans="1:13" ht="12.5" x14ac:dyDescent="0.25">
      <c r="A626" s="58"/>
      <c r="B626" s="58"/>
      <c r="C626" s="63" t="s">
        <v>51</v>
      </c>
      <c r="D626" s="64" t="s">
        <v>52</v>
      </c>
      <c r="E626" s="95">
        <v>3000</v>
      </c>
      <c r="F626" s="95">
        <v>0</v>
      </c>
      <c r="G626" s="95">
        <v>0</v>
      </c>
    </row>
    <row r="627" spans="1:13" ht="12.5" x14ac:dyDescent="0.25">
      <c r="A627" s="58"/>
      <c r="B627" s="60" t="s">
        <v>53</v>
      </c>
      <c r="C627" s="58"/>
      <c r="D627" s="61" t="s">
        <v>54</v>
      </c>
      <c r="E627" s="96">
        <f>+E628</f>
        <v>70000</v>
      </c>
      <c r="F627" s="96">
        <f>+F628</f>
        <v>68476.13</v>
      </c>
      <c r="G627" s="116">
        <f t="shared" si="23"/>
        <v>97.823042857142866</v>
      </c>
    </row>
    <row r="628" spans="1:13" ht="12.5" x14ac:dyDescent="0.25">
      <c r="A628" s="58"/>
      <c r="B628" s="58"/>
      <c r="C628" s="63" t="s">
        <v>55</v>
      </c>
      <c r="D628" s="64" t="s">
        <v>56</v>
      </c>
      <c r="E628" s="95">
        <f>+E629</f>
        <v>70000</v>
      </c>
      <c r="F628" s="95">
        <f>+F629</f>
        <v>68476.13</v>
      </c>
      <c r="G628" s="117">
        <f t="shared" si="23"/>
        <v>97.823042857142866</v>
      </c>
    </row>
    <row r="629" spans="1:13" ht="16.5" customHeight="1" x14ac:dyDescent="0.25">
      <c r="A629" s="58"/>
      <c r="B629" s="58"/>
      <c r="C629" s="65" t="s">
        <v>57</v>
      </c>
      <c r="D629" s="64" t="s">
        <v>58</v>
      </c>
      <c r="E629" s="95">
        <v>70000</v>
      </c>
      <c r="F629" s="95">
        <v>68476.13</v>
      </c>
      <c r="G629" s="117">
        <f t="shared" si="23"/>
        <v>97.823042857142866</v>
      </c>
    </row>
    <row r="630" spans="1:13" ht="26.25" customHeight="1" x14ac:dyDescent="0.25">
      <c r="A630" s="153" t="s">
        <v>301</v>
      </c>
      <c r="B630" s="153" t="s">
        <v>228</v>
      </c>
      <c r="C630" s="153"/>
      <c r="D630" s="161" t="s">
        <v>0</v>
      </c>
      <c r="E630" s="153" t="s">
        <v>229</v>
      </c>
      <c r="F630" s="153" t="s">
        <v>230</v>
      </c>
      <c r="G630" s="188" t="s">
        <v>302</v>
      </c>
    </row>
    <row r="631" spans="1:13" ht="15" customHeight="1" x14ac:dyDescent="0.25">
      <c r="A631" s="153"/>
      <c r="B631" s="153"/>
      <c r="C631" s="153"/>
      <c r="D631" s="161"/>
      <c r="E631" s="153"/>
      <c r="F631" s="153"/>
      <c r="G631" s="188"/>
    </row>
    <row r="632" spans="1:13" ht="13.5" customHeight="1" x14ac:dyDescent="0.25">
      <c r="A632" s="153"/>
      <c r="B632" s="153"/>
      <c r="C632" s="153"/>
      <c r="D632" s="161"/>
      <c r="E632" s="153"/>
      <c r="F632" s="153"/>
      <c r="G632" s="188"/>
    </row>
    <row r="633" spans="1:13" ht="12.5" x14ac:dyDescent="0.25">
      <c r="A633" s="57" t="s">
        <v>192</v>
      </c>
      <c r="B633" s="58"/>
      <c r="C633" s="58"/>
      <c r="D633" s="162" t="s">
        <v>193</v>
      </c>
      <c r="E633" s="173">
        <f>E635+E641+E643+E646+E648+E650</f>
        <v>499744</v>
      </c>
      <c r="F633" s="173">
        <f>F635+F641+F643+F646+F648+F650</f>
        <v>450821.83</v>
      </c>
      <c r="G633" s="186">
        <f>F633/E633*100</f>
        <v>90.210553803547427</v>
      </c>
    </row>
    <row r="634" spans="1:13" ht="12.5" x14ac:dyDescent="0.25">
      <c r="A634" s="57"/>
      <c r="B634" s="58"/>
      <c r="C634" s="58"/>
      <c r="D634" s="163"/>
      <c r="E634" s="174"/>
      <c r="F634" s="174"/>
      <c r="G634" s="187"/>
    </row>
    <row r="635" spans="1:13" ht="12.5" x14ac:dyDescent="0.25">
      <c r="A635" s="58"/>
      <c r="B635" s="60" t="s">
        <v>3</v>
      </c>
      <c r="C635" s="58"/>
      <c r="D635" s="61" t="s">
        <v>4</v>
      </c>
      <c r="E635" s="62">
        <f>SUM(E636:E640)</f>
        <v>155244</v>
      </c>
      <c r="F635" s="62">
        <f>SUM(F636:F640)</f>
        <v>140228.1</v>
      </c>
      <c r="G635" s="116">
        <f t="shared" ref="G635:G652" si="24">F635/E635*100</f>
        <v>90.327548890778388</v>
      </c>
    </row>
    <row r="636" spans="1:13" ht="12.5" x14ac:dyDescent="0.25">
      <c r="A636" s="58"/>
      <c r="B636" s="58"/>
      <c r="C636" s="63" t="s">
        <v>5</v>
      </c>
      <c r="D636" s="64" t="s">
        <v>6</v>
      </c>
      <c r="E636" s="95">
        <v>146300</v>
      </c>
      <c r="F636" s="95">
        <v>139350.88</v>
      </c>
      <c r="G636" s="117">
        <f t="shared" si="24"/>
        <v>95.250088858509912</v>
      </c>
    </row>
    <row r="637" spans="1:13" ht="12.5" x14ac:dyDescent="0.25">
      <c r="A637" s="58"/>
      <c r="B637" s="58"/>
      <c r="C637" s="63" t="s">
        <v>7</v>
      </c>
      <c r="D637" s="64" t="s">
        <v>8</v>
      </c>
      <c r="E637" s="95">
        <v>1084</v>
      </c>
      <c r="F637" s="95">
        <v>0</v>
      </c>
      <c r="G637" s="95">
        <v>0</v>
      </c>
    </row>
    <row r="638" spans="1:13" ht="13.5" customHeight="1" x14ac:dyDescent="0.25">
      <c r="A638" s="58"/>
      <c r="B638" s="58"/>
      <c r="C638" s="63" t="s">
        <v>9</v>
      </c>
      <c r="D638" s="64" t="s">
        <v>10</v>
      </c>
      <c r="E638" s="95">
        <v>5100</v>
      </c>
      <c r="F638" s="95">
        <v>0</v>
      </c>
      <c r="G638" s="95">
        <v>0</v>
      </c>
    </row>
    <row r="639" spans="1:13" ht="12.5" x14ac:dyDescent="0.25">
      <c r="A639" s="58"/>
      <c r="B639" s="58"/>
      <c r="C639" s="63" t="s">
        <v>11</v>
      </c>
      <c r="D639" s="64" t="s">
        <v>12</v>
      </c>
      <c r="E639" s="95">
        <v>1800</v>
      </c>
      <c r="F639" s="95">
        <v>0</v>
      </c>
      <c r="G639" s="95">
        <v>0</v>
      </c>
    </row>
    <row r="640" spans="1:13" ht="13.5" customHeight="1" x14ac:dyDescent="0.25">
      <c r="A640" s="58"/>
      <c r="B640" s="58"/>
      <c r="C640" s="63" t="s">
        <v>13</v>
      </c>
      <c r="D640" s="64" t="s">
        <v>14</v>
      </c>
      <c r="E640" s="95">
        <v>960</v>
      </c>
      <c r="F640" s="95">
        <v>877.22</v>
      </c>
      <c r="G640" s="117">
        <f t="shared" si="24"/>
        <v>91.377083333333331</v>
      </c>
      <c r="M640" s="120"/>
    </row>
    <row r="641" spans="1:7" ht="12.5" x14ac:dyDescent="0.25">
      <c r="A641" s="58"/>
      <c r="B641" s="60" t="s">
        <v>15</v>
      </c>
      <c r="C641" s="58"/>
      <c r="D641" s="61" t="s">
        <v>16</v>
      </c>
      <c r="E641" s="96">
        <f>+E642</f>
        <v>1000</v>
      </c>
      <c r="F641" s="96">
        <f>+F642</f>
        <v>0</v>
      </c>
      <c r="G641" s="96">
        <v>0</v>
      </c>
    </row>
    <row r="642" spans="1:7" ht="12.5" x14ac:dyDescent="0.25">
      <c r="A642" s="58"/>
      <c r="B642" s="58"/>
      <c r="C642" s="63" t="s">
        <v>17</v>
      </c>
      <c r="D642" s="64" t="s">
        <v>18</v>
      </c>
      <c r="E642" s="95">
        <v>1000</v>
      </c>
      <c r="F642" s="95">
        <v>0</v>
      </c>
      <c r="G642" s="95">
        <v>0</v>
      </c>
    </row>
    <row r="643" spans="1:7" ht="12.5" x14ac:dyDescent="0.25">
      <c r="A643" s="58"/>
      <c r="B643" s="60" t="s">
        <v>27</v>
      </c>
      <c r="C643" s="58"/>
      <c r="D643" s="61" t="s">
        <v>28</v>
      </c>
      <c r="E643" s="96">
        <f>+E644+E645</f>
        <v>3000</v>
      </c>
      <c r="F643" s="96">
        <f>+F644+F645</f>
        <v>2073.4</v>
      </c>
      <c r="G643" s="116">
        <f t="shared" si="24"/>
        <v>69.113333333333344</v>
      </c>
    </row>
    <row r="644" spans="1:7" ht="13.5" customHeight="1" x14ac:dyDescent="0.25">
      <c r="A644" s="58"/>
      <c r="B644" s="58"/>
      <c r="C644" s="63" t="s">
        <v>29</v>
      </c>
      <c r="D644" s="64" t="s">
        <v>30</v>
      </c>
      <c r="E644" s="95">
        <v>2500</v>
      </c>
      <c r="F644" s="95">
        <v>2025</v>
      </c>
      <c r="G644" s="117">
        <f t="shared" si="24"/>
        <v>81</v>
      </c>
    </row>
    <row r="645" spans="1:7" ht="13.5" customHeight="1" x14ac:dyDescent="0.25">
      <c r="A645" s="58"/>
      <c r="B645" s="58"/>
      <c r="C645" s="63">
        <v>4149</v>
      </c>
      <c r="D645" s="64" t="s">
        <v>38</v>
      </c>
      <c r="E645" s="95">
        <v>500</v>
      </c>
      <c r="F645" s="95">
        <v>48.4</v>
      </c>
      <c r="G645" s="117">
        <f t="shared" si="24"/>
        <v>9.68</v>
      </c>
    </row>
    <row r="646" spans="1:7" ht="12.5" x14ac:dyDescent="0.25">
      <c r="A646" s="58"/>
      <c r="B646" s="60" t="s">
        <v>194</v>
      </c>
      <c r="C646" s="58"/>
      <c r="D646" s="61" t="s">
        <v>195</v>
      </c>
      <c r="E646" s="96">
        <f>+E647</f>
        <v>270000</v>
      </c>
      <c r="F646" s="96">
        <f>+F647</f>
        <v>240442.2</v>
      </c>
      <c r="G646" s="116">
        <f t="shared" si="24"/>
        <v>89.052666666666667</v>
      </c>
    </row>
    <row r="647" spans="1:7" ht="13.5" customHeight="1" x14ac:dyDescent="0.25">
      <c r="A647" s="58"/>
      <c r="B647" s="58"/>
      <c r="C647" s="63" t="s">
        <v>196</v>
      </c>
      <c r="D647" s="64" t="s">
        <v>197</v>
      </c>
      <c r="E647" s="95">
        <v>270000</v>
      </c>
      <c r="F647" s="95">
        <f>239642.2+800</f>
        <v>240442.2</v>
      </c>
      <c r="G647" s="117">
        <f t="shared" si="24"/>
        <v>89.052666666666667</v>
      </c>
    </row>
    <row r="648" spans="1:7" ht="12.5" x14ac:dyDescent="0.25">
      <c r="A648" s="58"/>
      <c r="B648" s="60" t="s">
        <v>47</v>
      </c>
      <c r="C648" s="58"/>
      <c r="D648" s="61" t="s">
        <v>48</v>
      </c>
      <c r="E648" s="96">
        <f>+E649</f>
        <v>500</v>
      </c>
      <c r="F648" s="96">
        <f>+F649</f>
        <v>0</v>
      </c>
      <c r="G648" s="96">
        <v>0</v>
      </c>
    </row>
    <row r="649" spans="1:7" ht="12.5" x14ac:dyDescent="0.25">
      <c r="A649" s="58"/>
      <c r="B649" s="58"/>
      <c r="C649" s="63" t="s">
        <v>49</v>
      </c>
      <c r="D649" s="64" t="s">
        <v>50</v>
      </c>
      <c r="E649" s="95">
        <v>500</v>
      </c>
      <c r="F649" s="95">
        <v>0</v>
      </c>
      <c r="G649" s="95">
        <v>0</v>
      </c>
    </row>
    <row r="650" spans="1:7" ht="12.5" x14ac:dyDescent="0.25">
      <c r="A650" s="58"/>
      <c r="B650" s="60" t="s">
        <v>53</v>
      </c>
      <c r="C650" s="58"/>
      <c r="D650" s="61" t="s">
        <v>54</v>
      </c>
      <c r="E650" s="96">
        <f>+E651</f>
        <v>70000</v>
      </c>
      <c r="F650" s="96">
        <f>+F651</f>
        <v>68078.13</v>
      </c>
      <c r="G650" s="116">
        <f t="shared" si="24"/>
        <v>97.254471428571435</v>
      </c>
    </row>
    <row r="651" spans="1:7" ht="12.5" x14ac:dyDescent="0.25">
      <c r="A651" s="58"/>
      <c r="B651" s="58"/>
      <c r="C651" s="63" t="s">
        <v>55</v>
      </c>
      <c r="D651" s="64" t="s">
        <v>56</v>
      </c>
      <c r="E651" s="95">
        <f>+E652</f>
        <v>70000</v>
      </c>
      <c r="F651" s="95">
        <f>+F652</f>
        <v>68078.13</v>
      </c>
      <c r="G651" s="117">
        <f t="shared" si="24"/>
        <v>97.254471428571435</v>
      </c>
    </row>
    <row r="652" spans="1:7" ht="13.5" customHeight="1" x14ac:dyDescent="0.25">
      <c r="A652" s="58"/>
      <c r="B652" s="58"/>
      <c r="C652" s="65" t="s">
        <v>57</v>
      </c>
      <c r="D652" s="64" t="s">
        <v>58</v>
      </c>
      <c r="E652" s="95">
        <v>70000</v>
      </c>
      <c r="F652" s="95">
        <v>68078.13</v>
      </c>
      <c r="G652" s="117">
        <f t="shared" si="24"/>
        <v>97.254471428571435</v>
      </c>
    </row>
    <row r="653" spans="1:7" ht="29.25" customHeight="1" x14ac:dyDescent="0.25">
      <c r="A653" s="153" t="s">
        <v>301</v>
      </c>
      <c r="B653" s="153" t="s">
        <v>228</v>
      </c>
      <c r="C653" s="153"/>
      <c r="D653" s="161" t="s">
        <v>0</v>
      </c>
      <c r="E653" s="194" t="s">
        <v>229</v>
      </c>
      <c r="F653" s="194" t="s">
        <v>230</v>
      </c>
      <c r="G653" s="188" t="s">
        <v>302</v>
      </c>
    </row>
    <row r="654" spans="1:7" ht="12" customHeight="1" x14ac:dyDescent="0.25">
      <c r="A654" s="153"/>
      <c r="B654" s="153"/>
      <c r="C654" s="153"/>
      <c r="D654" s="161"/>
      <c r="E654" s="195"/>
      <c r="F654" s="195"/>
      <c r="G654" s="188"/>
    </row>
    <row r="655" spans="1:7" ht="13.5" customHeight="1" x14ac:dyDescent="0.25">
      <c r="A655" s="153"/>
      <c r="B655" s="153"/>
      <c r="C655" s="153"/>
      <c r="D655" s="161"/>
      <c r="E655" s="196"/>
      <c r="F655" s="196"/>
      <c r="G655" s="188"/>
    </row>
    <row r="656" spans="1:7" ht="12.5" x14ac:dyDescent="0.25">
      <c r="A656" s="57" t="s">
        <v>198</v>
      </c>
      <c r="B656" s="58"/>
      <c r="C656" s="58"/>
      <c r="D656" s="162" t="s">
        <v>353</v>
      </c>
      <c r="E656" s="173">
        <f>E658+E664+E666+E669+E681+E684+E687</f>
        <v>718410</v>
      </c>
      <c r="F656" s="173">
        <f>F658+F664+F666+F669+F681+F684+F687</f>
        <v>658630.06999999995</v>
      </c>
      <c r="G656" s="186">
        <f>F656/E656*100</f>
        <v>91.678856084965403</v>
      </c>
    </row>
    <row r="657" spans="1:15" ht="12.5" x14ac:dyDescent="0.25">
      <c r="A657" s="57"/>
      <c r="B657" s="58"/>
      <c r="C657" s="58"/>
      <c r="D657" s="163"/>
      <c r="E657" s="174"/>
      <c r="F657" s="174"/>
      <c r="G657" s="187"/>
    </row>
    <row r="658" spans="1:15" ht="12.5" x14ac:dyDescent="0.25">
      <c r="A658" s="58"/>
      <c r="B658" s="60" t="s">
        <v>3</v>
      </c>
      <c r="C658" s="58"/>
      <c r="D658" s="61" t="s">
        <v>4</v>
      </c>
      <c r="E658" s="62">
        <f>SUM(E659:E663)</f>
        <v>39560</v>
      </c>
      <c r="F658" s="62">
        <f>SUM(F659:F663)</f>
        <v>37730.590000000004</v>
      </c>
      <c r="G658" s="116">
        <f t="shared" ref="G658:G689" si="25">F658/E658*100</f>
        <v>95.375606673407489</v>
      </c>
    </row>
    <row r="659" spans="1:15" ht="12.5" x14ac:dyDescent="0.25">
      <c r="A659" s="58"/>
      <c r="B659" s="58"/>
      <c r="C659" s="63" t="s">
        <v>5</v>
      </c>
      <c r="D659" s="64" t="s">
        <v>6</v>
      </c>
      <c r="E659" s="95">
        <f>33000+4600</f>
        <v>37600</v>
      </c>
      <c r="F659" s="95">
        <v>37511.29</v>
      </c>
      <c r="G659" s="117">
        <f t="shared" si="25"/>
        <v>99.764069148936173</v>
      </c>
    </row>
    <row r="660" spans="1:15" ht="12.5" x14ac:dyDescent="0.25">
      <c r="A660" s="58"/>
      <c r="B660" s="58"/>
      <c r="C660" s="63" t="s">
        <v>7</v>
      </c>
      <c r="D660" s="64" t="s">
        <v>8</v>
      </c>
      <c r="E660" s="95">
        <v>300</v>
      </c>
      <c r="F660" s="95">
        <v>0</v>
      </c>
      <c r="G660" s="95">
        <v>0</v>
      </c>
    </row>
    <row r="661" spans="1:15" ht="13.5" customHeight="1" x14ac:dyDescent="0.25">
      <c r="A661" s="58"/>
      <c r="B661" s="58"/>
      <c r="C661" s="63" t="s">
        <v>9</v>
      </c>
      <c r="D661" s="64" t="s">
        <v>10</v>
      </c>
      <c r="E661" s="95">
        <v>1020</v>
      </c>
      <c r="F661" s="95">
        <v>0</v>
      </c>
      <c r="G661" s="95">
        <v>0</v>
      </c>
    </row>
    <row r="662" spans="1:15" ht="12.5" x14ac:dyDescent="0.25">
      <c r="A662" s="58"/>
      <c r="B662" s="58"/>
      <c r="C662" s="63" t="s">
        <v>11</v>
      </c>
      <c r="D662" s="64" t="s">
        <v>12</v>
      </c>
      <c r="E662" s="95">
        <v>400</v>
      </c>
      <c r="F662" s="95">
        <v>0</v>
      </c>
      <c r="G662" s="95">
        <v>0</v>
      </c>
    </row>
    <row r="663" spans="1:15" ht="13.5" customHeight="1" x14ac:dyDescent="0.25">
      <c r="A663" s="58"/>
      <c r="B663" s="58"/>
      <c r="C663" s="63" t="s">
        <v>13</v>
      </c>
      <c r="D663" s="64" t="s">
        <v>14</v>
      </c>
      <c r="E663" s="95">
        <v>240</v>
      </c>
      <c r="F663" s="95">
        <v>219.3</v>
      </c>
      <c r="G663" s="117">
        <f t="shared" si="25"/>
        <v>91.375</v>
      </c>
      <c r="N663" s="67"/>
      <c r="O663" s="67"/>
    </row>
    <row r="664" spans="1:15" ht="12.5" x14ac:dyDescent="0.25">
      <c r="A664" s="58"/>
      <c r="B664" s="60" t="s">
        <v>15</v>
      </c>
      <c r="C664" s="58"/>
      <c r="D664" s="61" t="s">
        <v>16</v>
      </c>
      <c r="E664" s="96">
        <f>+E665</f>
        <v>1800</v>
      </c>
      <c r="F664" s="96">
        <f>+F665</f>
        <v>1008</v>
      </c>
      <c r="G664" s="116">
        <f t="shared" si="25"/>
        <v>56.000000000000007</v>
      </c>
      <c r="N664" s="69"/>
      <c r="O664" s="69"/>
    </row>
    <row r="665" spans="1:15" ht="12.5" x14ac:dyDescent="0.25">
      <c r="A665" s="58"/>
      <c r="B665" s="58"/>
      <c r="C665" s="63" t="s">
        <v>17</v>
      </c>
      <c r="D665" s="64" t="s">
        <v>18</v>
      </c>
      <c r="E665" s="95">
        <v>1800</v>
      </c>
      <c r="F665" s="95">
        <v>1008</v>
      </c>
      <c r="G665" s="117">
        <f t="shared" si="25"/>
        <v>56.000000000000007</v>
      </c>
      <c r="N665" s="69"/>
      <c r="O665" s="69"/>
    </row>
    <row r="666" spans="1:15" ht="12.5" x14ac:dyDescent="0.25">
      <c r="A666" s="58"/>
      <c r="B666" s="60" t="s">
        <v>27</v>
      </c>
      <c r="C666" s="58"/>
      <c r="D666" s="61" t="s">
        <v>28</v>
      </c>
      <c r="E666" s="96">
        <f>+E667+E668</f>
        <v>1050</v>
      </c>
      <c r="F666" s="96">
        <f>+F667+F668</f>
        <v>153.6</v>
      </c>
      <c r="G666" s="116">
        <f t="shared" si="25"/>
        <v>14.628571428571426</v>
      </c>
      <c r="N666" s="69"/>
      <c r="O666" s="69"/>
    </row>
    <row r="667" spans="1:15" ht="15.75" customHeight="1" x14ac:dyDescent="0.25">
      <c r="A667" s="58"/>
      <c r="B667" s="58"/>
      <c r="C667" s="63" t="s">
        <v>29</v>
      </c>
      <c r="D667" s="64" t="s">
        <v>30</v>
      </c>
      <c r="E667" s="95">
        <v>800</v>
      </c>
      <c r="F667" s="95">
        <v>153.6</v>
      </c>
      <c r="G667" s="117">
        <f t="shared" si="25"/>
        <v>19.2</v>
      </c>
      <c r="N667" s="69"/>
      <c r="O667" s="69"/>
    </row>
    <row r="668" spans="1:15" ht="12.5" x14ac:dyDescent="0.25">
      <c r="A668" s="58"/>
      <c r="B668" s="58"/>
      <c r="C668" s="63">
        <v>4149</v>
      </c>
      <c r="D668" s="64" t="s">
        <v>38</v>
      </c>
      <c r="E668" s="95">
        <v>250</v>
      </c>
      <c r="F668" s="95">
        <v>0</v>
      </c>
      <c r="G668" s="95">
        <v>0</v>
      </c>
    </row>
    <row r="669" spans="1:15" ht="22" x14ac:dyDescent="0.25">
      <c r="A669" s="58"/>
      <c r="B669" s="60" t="s">
        <v>43</v>
      </c>
      <c r="C669" s="58"/>
      <c r="D669" s="61" t="s">
        <v>44</v>
      </c>
      <c r="E669" s="122">
        <f>+E670</f>
        <v>303000</v>
      </c>
      <c r="F669" s="122">
        <f>+F670</f>
        <v>261985.55</v>
      </c>
      <c r="G669" s="116">
        <f t="shared" si="25"/>
        <v>86.463877887788783</v>
      </c>
    </row>
    <row r="670" spans="1:15" ht="12.5" x14ac:dyDescent="0.25">
      <c r="A670" s="58"/>
      <c r="B670" s="58"/>
      <c r="C670" s="63" t="s">
        <v>124</v>
      </c>
      <c r="D670" s="64" t="s">
        <v>125</v>
      </c>
      <c r="E670" s="95">
        <f>+E671</f>
        <v>303000</v>
      </c>
      <c r="F670" s="95">
        <f>+F671</f>
        <v>261985.55</v>
      </c>
      <c r="G670" s="117">
        <f t="shared" si="25"/>
        <v>86.463877887788783</v>
      </c>
    </row>
    <row r="671" spans="1:15" ht="12.5" x14ac:dyDescent="0.25">
      <c r="A671" s="58"/>
      <c r="B671" s="58"/>
      <c r="C671" s="65" t="s">
        <v>199</v>
      </c>
      <c r="D671" s="64" t="s">
        <v>200</v>
      </c>
      <c r="E671" s="95">
        <f>+E672+E673+E674+E675+E676+E677+E678+E679+E680</f>
        <v>303000</v>
      </c>
      <c r="F671" s="95">
        <f>+F672+F673+F674+F675+F676+F677+F678+F679+F680</f>
        <v>261985.55</v>
      </c>
      <c r="G671" s="117">
        <f t="shared" si="25"/>
        <v>86.463877887788783</v>
      </c>
    </row>
    <row r="672" spans="1:15" ht="12.5" x14ac:dyDescent="0.25">
      <c r="A672" s="58"/>
      <c r="B672" s="58"/>
      <c r="C672" s="70" t="s">
        <v>201</v>
      </c>
      <c r="D672" s="64" t="s">
        <v>202</v>
      </c>
      <c r="E672" s="95">
        <v>215000</v>
      </c>
      <c r="F672" s="95">
        <v>202022.78</v>
      </c>
      <c r="G672" s="117">
        <f t="shared" si="25"/>
        <v>93.964083720930233</v>
      </c>
    </row>
    <row r="673" spans="1:7" ht="12.5" x14ac:dyDescent="0.25">
      <c r="A673" s="58"/>
      <c r="B673" s="58"/>
      <c r="C673" s="70" t="s">
        <v>203</v>
      </c>
      <c r="D673" s="64" t="s">
        <v>204</v>
      </c>
      <c r="E673" s="95">
        <v>1000</v>
      </c>
      <c r="F673" s="95">
        <v>492</v>
      </c>
      <c r="G673" s="117">
        <f t="shared" si="25"/>
        <v>49.2</v>
      </c>
    </row>
    <row r="674" spans="1:7" ht="12.5" x14ac:dyDescent="0.25">
      <c r="A674" s="58"/>
      <c r="B674" s="58"/>
      <c r="C674" s="70" t="s">
        <v>205</v>
      </c>
      <c r="D674" s="64" t="s">
        <v>206</v>
      </c>
      <c r="E674" s="95">
        <v>2000</v>
      </c>
      <c r="F674" s="95">
        <v>0</v>
      </c>
      <c r="G674" s="95">
        <v>0</v>
      </c>
    </row>
    <row r="675" spans="1:7" ht="12.5" x14ac:dyDescent="0.25">
      <c r="A675" s="58"/>
      <c r="B675" s="58"/>
      <c r="C675" s="70" t="s">
        <v>207</v>
      </c>
      <c r="D675" s="64" t="s">
        <v>208</v>
      </c>
      <c r="E675" s="95">
        <v>1000</v>
      </c>
      <c r="F675" s="95">
        <v>310</v>
      </c>
      <c r="G675" s="117">
        <f t="shared" si="25"/>
        <v>31</v>
      </c>
    </row>
    <row r="676" spans="1:7" ht="12.5" x14ac:dyDescent="0.25">
      <c r="A676" s="58"/>
      <c r="B676" s="58"/>
      <c r="C676" s="70">
        <v>431315</v>
      </c>
      <c r="D676" s="64" t="s">
        <v>329</v>
      </c>
      <c r="E676" s="95">
        <v>45000</v>
      </c>
      <c r="F676" s="95">
        <v>45000</v>
      </c>
      <c r="G676" s="117">
        <f t="shared" si="25"/>
        <v>100</v>
      </c>
    </row>
    <row r="677" spans="1:7" ht="12.5" x14ac:dyDescent="0.25">
      <c r="A677" s="58"/>
      <c r="B677" s="58"/>
      <c r="C677" s="70" t="s">
        <v>209</v>
      </c>
      <c r="D677" s="64" t="s">
        <v>210</v>
      </c>
      <c r="E677" s="95">
        <v>2000</v>
      </c>
      <c r="F677" s="95">
        <v>1970.77</v>
      </c>
      <c r="G677" s="117">
        <f t="shared" si="25"/>
        <v>98.538499999999999</v>
      </c>
    </row>
    <row r="678" spans="1:7" ht="12.5" x14ac:dyDescent="0.25">
      <c r="A678" s="58"/>
      <c r="B678" s="58"/>
      <c r="C678" s="70" t="s">
        <v>211</v>
      </c>
      <c r="D678" s="64" t="s">
        <v>212</v>
      </c>
      <c r="E678" s="95">
        <v>3000</v>
      </c>
      <c r="F678" s="95">
        <v>3000</v>
      </c>
      <c r="G678" s="117">
        <f t="shared" si="25"/>
        <v>100</v>
      </c>
    </row>
    <row r="679" spans="1:7" ht="12.5" x14ac:dyDescent="0.25">
      <c r="A679" s="58"/>
      <c r="B679" s="58"/>
      <c r="C679" s="70" t="s">
        <v>213</v>
      </c>
      <c r="D679" s="64" t="s">
        <v>214</v>
      </c>
      <c r="E679" s="95">
        <v>15000</v>
      </c>
      <c r="F679" s="95">
        <v>8000</v>
      </c>
      <c r="G679" s="117">
        <f t="shared" si="25"/>
        <v>53.333333333333336</v>
      </c>
    </row>
    <row r="680" spans="1:7" ht="12.5" x14ac:dyDescent="0.25">
      <c r="A680" s="58"/>
      <c r="B680" s="58"/>
      <c r="C680" s="70" t="s">
        <v>215</v>
      </c>
      <c r="D680" s="64" t="s">
        <v>216</v>
      </c>
      <c r="E680" s="95">
        <v>19000</v>
      </c>
      <c r="F680" s="95">
        <v>1190</v>
      </c>
      <c r="G680" s="117">
        <f t="shared" si="25"/>
        <v>6.2631578947368425</v>
      </c>
    </row>
    <row r="681" spans="1:7" ht="12.5" x14ac:dyDescent="0.25">
      <c r="A681" s="58"/>
      <c r="B681" s="60" t="s">
        <v>78</v>
      </c>
      <c r="C681" s="58"/>
      <c r="D681" s="61" t="s">
        <v>79</v>
      </c>
      <c r="E681" s="96">
        <f>+E682</f>
        <v>320000</v>
      </c>
      <c r="F681" s="96">
        <f>+F682</f>
        <v>320000</v>
      </c>
      <c r="G681" s="116">
        <f t="shared" si="25"/>
        <v>100</v>
      </c>
    </row>
    <row r="682" spans="1:7" ht="12.5" x14ac:dyDescent="0.25">
      <c r="A682" s="58"/>
      <c r="B682" s="58"/>
      <c r="C682" s="63" t="s">
        <v>80</v>
      </c>
      <c r="D682" s="64" t="s">
        <v>81</v>
      </c>
      <c r="E682" s="95">
        <f>+E683</f>
        <v>320000</v>
      </c>
      <c r="F682" s="95">
        <f>+F683</f>
        <v>320000</v>
      </c>
      <c r="G682" s="117">
        <f t="shared" si="25"/>
        <v>100</v>
      </c>
    </row>
    <row r="683" spans="1:7" ht="14.25" customHeight="1" x14ac:dyDescent="0.25">
      <c r="A683" s="58"/>
      <c r="B683" s="58"/>
      <c r="C683" s="65" t="s">
        <v>225</v>
      </c>
      <c r="D683" s="64" t="s">
        <v>226</v>
      </c>
      <c r="E683" s="95">
        <v>320000</v>
      </c>
      <c r="F683" s="95">
        <v>320000</v>
      </c>
      <c r="G683" s="117">
        <f t="shared" si="25"/>
        <v>100</v>
      </c>
    </row>
    <row r="684" spans="1:7" ht="15" customHeight="1" x14ac:dyDescent="0.25">
      <c r="A684" s="58"/>
      <c r="B684" s="75">
        <v>441</v>
      </c>
      <c r="C684" s="63"/>
      <c r="D684" s="61" t="s">
        <v>48</v>
      </c>
      <c r="E684" s="96">
        <f>+E685+E686</f>
        <v>13000</v>
      </c>
      <c r="F684" s="96">
        <f>+F685+F686</f>
        <v>0</v>
      </c>
      <c r="G684" s="96">
        <v>0</v>
      </c>
    </row>
    <row r="685" spans="1:7" ht="12.5" x14ac:dyDescent="0.25">
      <c r="A685" s="58"/>
      <c r="B685" s="58"/>
      <c r="C685" s="63">
        <v>4412</v>
      </c>
      <c r="D685" s="64" t="s">
        <v>171</v>
      </c>
      <c r="E685" s="95">
        <v>10000</v>
      </c>
      <c r="F685" s="95">
        <v>0</v>
      </c>
      <c r="G685" s="95">
        <v>0</v>
      </c>
    </row>
    <row r="686" spans="1:7" ht="12.5" x14ac:dyDescent="0.25">
      <c r="A686" s="58"/>
      <c r="B686" s="58"/>
      <c r="C686" s="63" t="s">
        <v>49</v>
      </c>
      <c r="D686" s="64" t="s">
        <v>50</v>
      </c>
      <c r="E686" s="95">
        <v>3000</v>
      </c>
      <c r="F686" s="95">
        <v>0</v>
      </c>
      <c r="G686" s="95">
        <v>0</v>
      </c>
    </row>
    <row r="687" spans="1:7" ht="11.25" customHeight="1" x14ac:dyDescent="0.25">
      <c r="A687" s="58"/>
      <c r="B687" s="60" t="s">
        <v>53</v>
      </c>
      <c r="C687" s="58"/>
      <c r="D687" s="61" t="s">
        <v>54</v>
      </c>
      <c r="E687" s="96">
        <f>+E688</f>
        <v>40000</v>
      </c>
      <c r="F687" s="96">
        <f>+F688</f>
        <v>37752.33</v>
      </c>
      <c r="G687" s="116">
        <f t="shared" si="25"/>
        <v>94.380825000000002</v>
      </c>
    </row>
    <row r="688" spans="1:7" ht="11.25" customHeight="1" x14ac:dyDescent="0.25">
      <c r="A688" s="58"/>
      <c r="B688" s="58"/>
      <c r="C688" s="63" t="s">
        <v>55</v>
      </c>
      <c r="D688" s="64" t="s">
        <v>56</v>
      </c>
      <c r="E688" s="95">
        <f>+E689</f>
        <v>40000</v>
      </c>
      <c r="F688" s="95">
        <f>+F689</f>
        <v>37752.33</v>
      </c>
      <c r="G688" s="117">
        <f t="shared" si="25"/>
        <v>94.380825000000002</v>
      </c>
    </row>
    <row r="689" spans="1:7" ht="11.25" customHeight="1" x14ac:dyDescent="0.25">
      <c r="A689" s="58"/>
      <c r="B689" s="58"/>
      <c r="C689" s="65" t="s">
        <v>57</v>
      </c>
      <c r="D689" s="64" t="s">
        <v>58</v>
      </c>
      <c r="E689" s="95">
        <v>40000</v>
      </c>
      <c r="F689" s="95">
        <v>37752.33</v>
      </c>
      <c r="G689" s="117">
        <f t="shared" si="25"/>
        <v>94.380825000000002</v>
      </c>
    </row>
    <row r="690" spans="1:7" ht="12.75" customHeight="1" x14ac:dyDescent="0.25">
      <c r="A690" s="153" t="s">
        <v>301</v>
      </c>
      <c r="B690" s="153" t="s">
        <v>228</v>
      </c>
      <c r="C690" s="153"/>
      <c r="D690" s="161" t="s">
        <v>0</v>
      </c>
      <c r="E690" s="153" t="s">
        <v>229</v>
      </c>
      <c r="F690" s="153" t="s">
        <v>230</v>
      </c>
      <c r="G690" s="188" t="s">
        <v>302</v>
      </c>
    </row>
    <row r="691" spans="1:7" ht="12.75" customHeight="1" x14ac:dyDescent="0.25">
      <c r="A691" s="153"/>
      <c r="B691" s="153"/>
      <c r="C691" s="153"/>
      <c r="D691" s="161"/>
      <c r="E691" s="153"/>
      <c r="F691" s="153"/>
      <c r="G691" s="188"/>
    </row>
    <row r="692" spans="1:7" ht="12.75" customHeight="1" x14ac:dyDescent="0.25">
      <c r="A692" s="153"/>
      <c r="B692" s="153"/>
      <c r="C692" s="153"/>
      <c r="D692" s="161"/>
      <c r="E692" s="153"/>
      <c r="F692" s="153"/>
      <c r="G692" s="188"/>
    </row>
    <row r="693" spans="1:7" ht="12.75" customHeight="1" x14ac:dyDescent="0.25">
      <c r="A693" s="57" t="s">
        <v>77</v>
      </c>
      <c r="B693" s="58"/>
      <c r="C693" s="58"/>
      <c r="D693" s="192" t="s">
        <v>344</v>
      </c>
      <c r="E693" s="173">
        <f>E695+E701+E703+E712+E715+E734</f>
        <v>3423640</v>
      </c>
      <c r="F693" s="173">
        <f>F695+F701+F703+F712+F715+F734</f>
        <v>2816808.27</v>
      </c>
      <c r="G693" s="186">
        <f>F693/E693*100</f>
        <v>82.275247105419965</v>
      </c>
    </row>
    <row r="694" spans="1:7" ht="12.75" customHeight="1" x14ac:dyDescent="0.25">
      <c r="A694" s="57"/>
      <c r="B694" s="58"/>
      <c r="C694" s="58"/>
      <c r="D694" s="193"/>
      <c r="E694" s="174"/>
      <c r="F694" s="174"/>
      <c r="G694" s="187"/>
    </row>
    <row r="695" spans="1:7" ht="12.75" customHeight="1" x14ac:dyDescent="0.25">
      <c r="A695" s="58"/>
      <c r="B695" s="60" t="s">
        <v>3</v>
      </c>
      <c r="C695" s="58"/>
      <c r="D695" s="60" t="s">
        <v>4</v>
      </c>
      <c r="E695" s="62">
        <f>SUM(E696:E700)</f>
        <v>110740</v>
      </c>
      <c r="F695" s="62">
        <f>SUM(F696:F700)</f>
        <v>110216.29999999999</v>
      </c>
      <c r="G695" s="116">
        <f t="shared" ref="G695:G736" si="26">F695/E695*100</f>
        <v>99.527090482210568</v>
      </c>
    </row>
    <row r="696" spans="1:7" ht="12.75" customHeight="1" x14ac:dyDescent="0.25">
      <c r="A696" s="58"/>
      <c r="B696" s="58"/>
      <c r="C696" s="63" t="s">
        <v>5</v>
      </c>
      <c r="D696" s="63" t="s">
        <v>6</v>
      </c>
      <c r="E696" s="95">
        <f>99000+6200</f>
        <v>105200</v>
      </c>
      <c r="F696" s="95">
        <v>105099.74</v>
      </c>
      <c r="G696" s="117">
        <f t="shared" si="26"/>
        <v>99.904695817490492</v>
      </c>
    </row>
    <row r="697" spans="1:7" ht="12.75" customHeight="1" x14ac:dyDescent="0.25">
      <c r="A697" s="58"/>
      <c r="B697" s="58"/>
      <c r="C697" s="63" t="s">
        <v>7</v>
      </c>
      <c r="D697" s="63" t="s">
        <v>8</v>
      </c>
      <c r="E697" s="95">
        <v>640</v>
      </c>
      <c r="F697" s="95">
        <v>606.17999999999995</v>
      </c>
      <c r="G697" s="117">
        <f t="shared" si="26"/>
        <v>94.715624999999989</v>
      </c>
    </row>
    <row r="698" spans="1:7" ht="12.75" customHeight="1" x14ac:dyDescent="0.25">
      <c r="A698" s="58"/>
      <c r="B698" s="58"/>
      <c r="C698" s="63" t="s">
        <v>9</v>
      </c>
      <c r="D698" s="63" t="s">
        <v>10</v>
      </c>
      <c r="E698" s="95">
        <v>3140</v>
      </c>
      <c r="F698" s="95">
        <v>2908.43</v>
      </c>
      <c r="G698" s="117">
        <f t="shared" si="26"/>
        <v>92.625159235668789</v>
      </c>
    </row>
    <row r="699" spans="1:7" ht="12.75" customHeight="1" x14ac:dyDescent="0.25">
      <c r="A699" s="58"/>
      <c r="B699" s="58"/>
      <c r="C699" s="63" t="s">
        <v>11</v>
      </c>
      <c r="D699" s="63" t="s">
        <v>12</v>
      </c>
      <c r="E699" s="95">
        <v>1280</v>
      </c>
      <c r="F699" s="95">
        <v>1163.3399999999999</v>
      </c>
      <c r="G699" s="117">
        <f t="shared" si="26"/>
        <v>90.885937499999997</v>
      </c>
    </row>
    <row r="700" spans="1:7" ht="12.75" customHeight="1" x14ac:dyDescent="0.25">
      <c r="A700" s="58"/>
      <c r="B700" s="58"/>
      <c r="C700" s="63" t="s">
        <v>13</v>
      </c>
      <c r="D700" s="63" t="s">
        <v>14</v>
      </c>
      <c r="E700" s="95">
        <v>480</v>
      </c>
      <c r="F700" s="95">
        <v>438.61</v>
      </c>
      <c r="G700" s="117">
        <f t="shared" si="26"/>
        <v>91.377083333333331</v>
      </c>
    </row>
    <row r="701" spans="1:7" ht="12.75" customHeight="1" x14ac:dyDescent="0.25">
      <c r="A701" s="58"/>
      <c r="B701" s="60" t="s">
        <v>15</v>
      </c>
      <c r="C701" s="58"/>
      <c r="D701" s="60" t="s">
        <v>16</v>
      </c>
      <c r="E701" s="96">
        <f>+E702</f>
        <v>2000</v>
      </c>
      <c r="F701" s="96">
        <f>+F702</f>
        <v>1890</v>
      </c>
      <c r="G701" s="116">
        <f t="shared" si="26"/>
        <v>94.5</v>
      </c>
    </row>
    <row r="702" spans="1:7" ht="12.75" customHeight="1" x14ac:dyDescent="0.25">
      <c r="A702" s="58"/>
      <c r="B702" s="58"/>
      <c r="C702" s="63" t="s">
        <v>17</v>
      </c>
      <c r="D702" s="63" t="s">
        <v>18</v>
      </c>
      <c r="E702" s="95">
        <v>2000</v>
      </c>
      <c r="F702" s="95">
        <v>1890</v>
      </c>
      <c r="G702" s="117">
        <f t="shared" si="26"/>
        <v>94.5</v>
      </c>
    </row>
    <row r="703" spans="1:7" ht="12.75" customHeight="1" x14ac:dyDescent="0.25">
      <c r="A703" s="58"/>
      <c r="B703" s="60" t="s">
        <v>27</v>
      </c>
      <c r="C703" s="58"/>
      <c r="D703" s="103" t="s">
        <v>28</v>
      </c>
      <c r="E703" s="96">
        <f>+E704+E705+E711</f>
        <v>231900</v>
      </c>
      <c r="F703" s="96">
        <f>+F704+F705+F711</f>
        <v>208485.81000000003</v>
      </c>
      <c r="G703" s="116">
        <f t="shared" si="26"/>
        <v>89.903324708926263</v>
      </c>
    </row>
    <row r="704" spans="1:7" ht="12.75" customHeight="1" x14ac:dyDescent="0.25">
      <c r="A704" s="58"/>
      <c r="B704" s="58"/>
      <c r="C704" s="63" t="s">
        <v>29</v>
      </c>
      <c r="D704" s="104" t="s">
        <v>30</v>
      </c>
      <c r="E704" s="95">
        <v>3000</v>
      </c>
      <c r="F704" s="95">
        <v>1701.5</v>
      </c>
      <c r="G704" s="117">
        <f t="shared" si="26"/>
        <v>56.716666666666669</v>
      </c>
    </row>
    <row r="705" spans="1:13" ht="12.75" customHeight="1" x14ac:dyDescent="0.25">
      <c r="A705" s="58"/>
      <c r="B705" s="58"/>
      <c r="C705" s="63" t="s">
        <v>35</v>
      </c>
      <c r="D705" s="97" t="s">
        <v>36</v>
      </c>
      <c r="E705" s="95">
        <f>+E706</f>
        <v>226900</v>
      </c>
      <c r="F705" s="95">
        <v>206147.89</v>
      </c>
      <c r="G705" s="117">
        <f t="shared" si="26"/>
        <v>90.854072278536805</v>
      </c>
    </row>
    <row r="706" spans="1:13" ht="12.75" customHeight="1" x14ac:dyDescent="0.25">
      <c r="A706" s="58"/>
      <c r="B706" s="58"/>
      <c r="C706" s="65">
        <v>41471</v>
      </c>
      <c r="D706" s="97" t="s">
        <v>156</v>
      </c>
      <c r="E706" s="95">
        <f>+E707+E708+E709+E710</f>
        <v>226900</v>
      </c>
      <c r="F706" s="95">
        <f>+F707+F708+F709+F710</f>
        <v>141649.95000000001</v>
      </c>
      <c r="G706" s="117">
        <f t="shared" si="26"/>
        <v>62.428360511238438</v>
      </c>
    </row>
    <row r="707" spans="1:13" ht="12.75" customHeight="1" x14ac:dyDescent="0.25">
      <c r="A707" s="58"/>
      <c r="B707" s="58"/>
      <c r="C707" s="70">
        <v>414713</v>
      </c>
      <c r="D707" s="97" t="s">
        <v>158</v>
      </c>
      <c r="E707" s="95">
        <v>65000</v>
      </c>
      <c r="F707" s="95">
        <v>0</v>
      </c>
      <c r="G707" s="95">
        <v>0</v>
      </c>
    </row>
    <row r="708" spans="1:13" ht="12.75" customHeight="1" x14ac:dyDescent="0.25">
      <c r="A708" s="58"/>
      <c r="B708" s="58"/>
      <c r="C708" s="70">
        <v>414715</v>
      </c>
      <c r="D708" s="97" t="s">
        <v>369</v>
      </c>
      <c r="E708" s="95">
        <v>22000</v>
      </c>
      <c r="F708" s="95">
        <v>19465.849999999999</v>
      </c>
      <c r="G708" s="117">
        <f t="shared" si="26"/>
        <v>88.481136363636352</v>
      </c>
    </row>
    <row r="709" spans="1:13" ht="12.75" customHeight="1" x14ac:dyDescent="0.25">
      <c r="A709" s="58"/>
      <c r="B709" s="58"/>
      <c r="C709" s="70">
        <v>414716</v>
      </c>
      <c r="D709" s="97" t="s">
        <v>370</v>
      </c>
      <c r="E709" s="95">
        <v>98000</v>
      </c>
      <c r="F709" s="95">
        <v>88932.85</v>
      </c>
      <c r="G709" s="117">
        <f t="shared" si="26"/>
        <v>90.747806122448978</v>
      </c>
    </row>
    <row r="710" spans="1:13" ht="12.75" customHeight="1" x14ac:dyDescent="0.25">
      <c r="A710" s="58"/>
      <c r="B710" s="58"/>
      <c r="C710" s="70">
        <v>414719</v>
      </c>
      <c r="D710" s="97" t="s">
        <v>371</v>
      </c>
      <c r="E710" s="95">
        <f>229000-187100</f>
        <v>41900</v>
      </c>
      <c r="F710" s="95">
        <v>33251.25</v>
      </c>
      <c r="G710" s="117">
        <f t="shared" si="26"/>
        <v>79.358591885441527</v>
      </c>
    </row>
    <row r="711" spans="1:13" ht="12.75" customHeight="1" x14ac:dyDescent="0.25">
      <c r="A711" s="58"/>
      <c r="B711" s="58"/>
      <c r="C711" s="63" t="s">
        <v>37</v>
      </c>
      <c r="D711" s="104" t="s">
        <v>38</v>
      </c>
      <c r="E711" s="95">
        <v>2000</v>
      </c>
      <c r="F711" s="95">
        <v>636.41999999999996</v>
      </c>
      <c r="G711" s="117">
        <f t="shared" si="26"/>
        <v>31.820999999999998</v>
      </c>
    </row>
    <row r="712" spans="1:13" ht="12.75" customHeight="1" x14ac:dyDescent="0.25">
      <c r="A712" s="58"/>
      <c r="B712" s="60" t="s">
        <v>78</v>
      </c>
      <c r="C712" s="58"/>
      <c r="D712" s="60" t="s">
        <v>79</v>
      </c>
      <c r="E712" s="96">
        <f>+E713</f>
        <v>1735000</v>
      </c>
      <c r="F712" s="96">
        <f>+F713</f>
        <v>1734524</v>
      </c>
      <c r="G712" s="116">
        <f t="shared" si="26"/>
        <v>99.972564841498553</v>
      </c>
    </row>
    <row r="713" spans="1:13" ht="12.75" customHeight="1" x14ac:dyDescent="0.25">
      <c r="A713" s="58"/>
      <c r="B713" s="58"/>
      <c r="C713" s="63" t="s">
        <v>80</v>
      </c>
      <c r="D713" s="63" t="s">
        <v>81</v>
      </c>
      <c r="E713" s="95">
        <f>+E714</f>
        <v>1735000</v>
      </c>
      <c r="F713" s="95">
        <f>+F714</f>
        <v>1734524</v>
      </c>
      <c r="G713" s="117">
        <f t="shared" si="26"/>
        <v>99.972564841498553</v>
      </c>
    </row>
    <row r="714" spans="1:13" ht="12.75" customHeight="1" x14ac:dyDescent="0.25">
      <c r="A714" s="58"/>
      <c r="B714" s="58"/>
      <c r="C714" s="65" t="s">
        <v>82</v>
      </c>
      <c r="D714" s="63" t="s">
        <v>83</v>
      </c>
      <c r="E714" s="95">
        <f>1700000+35000</f>
        <v>1735000</v>
      </c>
      <c r="F714" s="95">
        <v>1734524</v>
      </c>
      <c r="G714" s="117">
        <f t="shared" si="26"/>
        <v>99.972564841498553</v>
      </c>
    </row>
    <row r="715" spans="1:13" ht="12.75" customHeight="1" x14ac:dyDescent="0.25">
      <c r="A715" s="58"/>
      <c r="B715" s="60" t="s">
        <v>47</v>
      </c>
      <c r="C715" s="58"/>
      <c r="D715" s="103" t="s">
        <v>48</v>
      </c>
      <c r="E715" s="96">
        <f>+E716+E717+E720+E728+E729+E733</f>
        <v>1244000</v>
      </c>
      <c r="F715" s="96">
        <f>+F716+F717+F720+F728+F729+F733</f>
        <v>666132</v>
      </c>
      <c r="G715" s="116">
        <f t="shared" si="26"/>
        <v>53.547588424437301</v>
      </c>
    </row>
    <row r="716" spans="1:13" ht="12.75" customHeight="1" x14ac:dyDescent="0.25">
      <c r="A716" s="58"/>
      <c r="B716" s="60"/>
      <c r="C716" s="63">
        <v>4411</v>
      </c>
      <c r="D716" s="97" t="s">
        <v>354</v>
      </c>
      <c r="E716" s="95">
        <v>286000</v>
      </c>
      <c r="F716" s="95">
        <v>285101</v>
      </c>
      <c r="G716" s="117">
        <f t="shared" si="26"/>
        <v>99.685664335664342</v>
      </c>
    </row>
    <row r="717" spans="1:13" ht="12.75" customHeight="1" x14ac:dyDescent="0.25">
      <c r="A717" s="58"/>
      <c r="B717" s="60"/>
      <c r="C717" s="63" t="s">
        <v>170</v>
      </c>
      <c r="D717" s="104" t="s">
        <v>171</v>
      </c>
      <c r="E717" s="95">
        <f>+E718+E719</f>
        <v>51000</v>
      </c>
      <c r="F717" s="95">
        <f>+F718+F719</f>
        <v>43469.39</v>
      </c>
      <c r="G717" s="117">
        <f t="shared" si="26"/>
        <v>85.234098039215695</v>
      </c>
    </row>
    <row r="718" spans="1:13" ht="12.75" customHeight="1" x14ac:dyDescent="0.25">
      <c r="A718" s="58"/>
      <c r="B718" s="60"/>
      <c r="C718" s="65">
        <v>44121</v>
      </c>
      <c r="D718" s="104" t="s">
        <v>325</v>
      </c>
      <c r="E718" s="95">
        <v>50000</v>
      </c>
      <c r="F718" s="95">
        <v>43469.39</v>
      </c>
      <c r="G718" s="117">
        <f t="shared" si="26"/>
        <v>86.938779999999994</v>
      </c>
    </row>
    <row r="719" spans="1:13" ht="12.75" customHeight="1" x14ac:dyDescent="0.25">
      <c r="A719" s="58"/>
      <c r="B719" s="60"/>
      <c r="C719" s="65" t="s">
        <v>324</v>
      </c>
      <c r="D719" s="104" t="s">
        <v>320</v>
      </c>
      <c r="E719" s="95">
        <v>1000</v>
      </c>
      <c r="F719" s="95">
        <v>0</v>
      </c>
      <c r="G719" s="95">
        <v>0</v>
      </c>
    </row>
    <row r="720" spans="1:13" ht="12.75" customHeight="1" x14ac:dyDescent="0.25">
      <c r="A720" s="58"/>
      <c r="B720" s="58"/>
      <c r="C720" s="63" t="s">
        <v>84</v>
      </c>
      <c r="D720" s="104" t="s">
        <v>85</v>
      </c>
      <c r="E720" s="95">
        <f>+E721+E722+E723+E724+E725+E726+E727</f>
        <v>345000</v>
      </c>
      <c r="F720" s="95">
        <f>+F721+F722+F723+F724+F725+F726+F727</f>
        <v>231466.99</v>
      </c>
      <c r="G720" s="117">
        <f t="shared" si="26"/>
        <v>67.091881159420282</v>
      </c>
      <c r="M720" s="120"/>
    </row>
    <row r="721" spans="1:7" ht="12.75" customHeight="1" x14ac:dyDescent="0.25">
      <c r="A721" s="58"/>
      <c r="B721" s="58"/>
      <c r="C721" s="65">
        <v>44131</v>
      </c>
      <c r="D721" s="104" t="s">
        <v>321</v>
      </c>
      <c r="E721" s="95">
        <v>315000</v>
      </c>
      <c r="F721" s="95">
        <v>206466.99</v>
      </c>
      <c r="G721" s="117">
        <f t="shared" si="26"/>
        <v>65.545076190476195</v>
      </c>
    </row>
    <row r="722" spans="1:7" ht="12.75" customHeight="1" x14ac:dyDescent="0.25">
      <c r="A722" s="58"/>
      <c r="B722" s="58"/>
      <c r="C722" s="65">
        <v>44132</v>
      </c>
      <c r="D722" s="104" t="s">
        <v>330</v>
      </c>
      <c r="E722" s="95">
        <v>25000</v>
      </c>
      <c r="F722" s="95">
        <v>25000</v>
      </c>
      <c r="G722" s="117">
        <f t="shared" si="26"/>
        <v>100</v>
      </c>
    </row>
    <row r="723" spans="1:7" ht="24.75" customHeight="1" x14ac:dyDescent="0.25">
      <c r="A723" s="58"/>
      <c r="B723" s="58"/>
      <c r="C723" s="65">
        <v>44133</v>
      </c>
      <c r="D723" s="68" t="s">
        <v>355</v>
      </c>
      <c r="E723" s="95">
        <v>1000</v>
      </c>
      <c r="F723" s="95">
        <v>0</v>
      </c>
      <c r="G723" s="95">
        <v>0</v>
      </c>
    </row>
    <row r="724" spans="1:7" ht="12.75" customHeight="1" x14ac:dyDescent="0.25">
      <c r="A724" s="58"/>
      <c r="B724" s="58"/>
      <c r="C724" s="65">
        <v>44134</v>
      </c>
      <c r="D724" s="104" t="s">
        <v>383</v>
      </c>
      <c r="E724" s="95">
        <v>1000</v>
      </c>
      <c r="F724" s="95">
        <v>0</v>
      </c>
      <c r="G724" s="95">
        <v>0</v>
      </c>
    </row>
    <row r="725" spans="1:7" ht="12.75" customHeight="1" x14ac:dyDescent="0.25">
      <c r="A725" s="58"/>
      <c r="B725" s="58"/>
      <c r="C725" s="65">
        <v>44135</v>
      </c>
      <c r="D725" s="104" t="s">
        <v>356</v>
      </c>
      <c r="E725" s="95">
        <v>1000</v>
      </c>
      <c r="F725" s="95">
        <v>0</v>
      </c>
      <c r="G725" s="95">
        <v>0</v>
      </c>
    </row>
    <row r="726" spans="1:7" ht="12.75" customHeight="1" x14ac:dyDescent="0.25">
      <c r="A726" s="58"/>
      <c r="B726" s="58"/>
      <c r="C726" s="65">
        <v>44136</v>
      </c>
      <c r="D726" s="104" t="s">
        <v>384</v>
      </c>
      <c r="E726" s="95">
        <v>1000</v>
      </c>
      <c r="F726" s="95">
        <v>0</v>
      </c>
      <c r="G726" s="95">
        <v>0</v>
      </c>
    </row>
    <row r="727" spans="1:7" ht="12.75" customHeight="1" x14ac:dyDescent="0.25">
      <c r="A727" s="58"/>
      <c r="B727" s="58"/>
      <c r="C727" s="65">
        <v>44137</v>
      </c>
      <c r="D727" s="104" t="s">
        <v>385</v>
      </c>
      <c r="E727" s="95">
        <v>1000</v>
      </c>
      <c r="F727" s="95">
        <v>0</v>
      </c>
      <c r="G727" s="95">
        <v>0</v>
      </c>
    </row>
    <row r="728" spans="1:7" ht="12.75" customHeight="1" x14ac:dyDescent="0.25">
      <c r="A728" s="58"/>
      <c r="B728" s="58"/>
      <c r="C728" s="63">
        <v>4415</v>
      </c>
      <c r="D728" s="104" t="s">
        <v>50</v>
      </c>
      <c r="E728" s="95">
        <v>1000</v>
      </c>
      <c r="F728" s="95">
        <v>117</v>
      </c>
      <c r="G728" s="117">
        <f t="shared" si="26"/>
        <v>11.700000000000001</v>
      </c>
    </row>
    <row r="729" spans="1:7" ht="12.75" customHeight="1" x14ac:dyDescent="0.25">
      <c r="A729" s="58"/>
      <c r="B729" s="58"/>
      <c r="C729" s="63">
        <v>4416</v>
      </c>
      <c r="D729" s="104" t="s">
        <v>52</v>
      </c>
      <c r="E729" s="95">
        <f>+E730+E731+E732</f>
        <v>211000</v>
      </c>
      <c r="F729" s="95">
        <f>+F730+F731+F732</f>
        <v>35653</v>
      </c>
      <c r="G729" s="117">
        <f t="shared" si="26"/>
        <v>16.897156398104265</v>
      </c>
    </row>
    <row r="730" spans="1:7" ht="12.75" customHeight="1" x14ac:dyDescent="0.25">
      <c r="A730" s="58"/>
      <c r="B730" s="58"/>
      <c r="C730" s="65">
        <v>44161</v>
      </c>
      <c r="D730" s="104" t="s">
        <v>322</v>
      </c>
      <c r="E730" s="95">
        <v>110000</v>
      </c>
      <c r="F730" s="95">
        <v>35653</v>
      </c>
      <c r="G730" s="117">
        <f t="shared" si="26"/>
        <v>32.411818181818184</v>
      </c>
    </row>
    <row r="731" spans="1:7" ht="12.75" customHeight="1" x14ac:dyDescent="0.25">
      <c r="A731" s="58"/>
      <c r="B731" s="58"/>
      <c r="C731" s="65">
        <v>44162</v>
      </c>
      <c r="D731" s="104" t="s">
        <v>323</v>
      </c>
      <c r="E731" s="95">
        <v>1000</v>
      </c>
      <c r="F731" s="95">
        <v>0</v>
      </c>
      <c r="G731" s="95">
        <v>0</v>
      </c>
    </row>
    <row r="732" spans="1:7" ht="12.75" customHeight="1" x14ac:dyDescent="0.25">
      <c r="A732" s="58"/>
      <c r="B732" s="58"/>
      <c r="C732" s="65">
        <v>44163</v>
      </c>
      <c r="D732" s="104" t="s">
        <v>357</v>
      </c>
      <c r="E732" s="95">
        <v>100000</v>
      </c>
      <c r="F732" s="95">
        <v>0</v>
      </c>
      <c r="G732" s="95">
        <v>0</v>
      </c>
    </row>
    <row r="733" spans="1:7" ht="12.75" customHeight="1" x14ac:dyDescent="0.25">
      <c r="A733" s="58"/>
      <c r="B733" s="58"/>
      <c r="C733" s="63">
        <v>4419</v>
      </c>
      <c r="D733" s="104" t="s">
        <v>132</v>
      </c>
      <c r="E733" s="95">
        <v>350000</v>
      </c>
      <c r="F733" s="95">
        <v>70324.62</v>
      </c>
      <c r="G733" s="117">
        <f t="shared" si="26"/>
        <v>20.092748571428569</v>
      </c>
    </row>
    <row r="734" spans="1:7" ht="12.75" customHeight="1" x14ac:dyDescent="0.25">
      <c r="A734" s="58"/>
      <c r="B734" s="60" t="s">
        <v>53</v>
      </c>
      <c r="C734" s="58"/>
      <c r="D734" s="60" t="s">
        <v>54</v>
      </c>
      <c r="E734" s="96">
        <f>+E735</f>
        <v>100000</v>
      </c>
      <c r="F734" s="96">
        <f>+F735</f>
        <v>95560.16</v>
      </c>
      <c r="G734" s="116">
        <f t="shared" si="26"/>
        <v>95.56016000000001</v>
      </c>
    </row>
    <row r="735" spans="1:7" ht="12.75" customHeight="1" x14ac:dyDescent="0.25">
      <c r="A735" s="58"/>
      <c r="B735" s="58"/>
      <c r="C735" s="63" t="s">
        <v>55</v>
      </c>
      <c r="D735" s="63" t="s">
        <v>56</v>
      </c>
      <c r="E735" s="95">
        <f>+E736</f>
        <v>100000</v>
      </c>
      <c r="F735" s="95">
        <f>+F736</f>
        <v>95560.16</v>
      </c>
      <c r="G735" s="117">
        <f t="shared" si="26"/>
        <v>95.56016000000001</v>
      </c>
    </row>
    <row r="736" spans="1:7" ht="12.75" customHeight="1" x14ac:dyDescent="0.25">
      <c r="A736" s="58"/>
      <c r="B736" s="58"/>
      <c r="C736" s="65" t="s">
        <v>57</v>
      </c>
      <c r="D736" s="63" t="s">
        <v>58</v>
      </c>
      <c r="E736" s="95">
        <v>100000</v>
      </c>
      <c r="F736" s="95">
        <v>95560.16</v>
      </c>
      <c r="G736" s="117">
        <f t="shared" si="26"/>
        <v>95.56016000000001</v>
      </c>
    </row>
    <row r="737" spans="1:7" ht="12.75" customHeight="1" x14ac:dyDescent="0.25">
      <c r="A737" s="153" t="s">
        <v>301</v>
      </c>
      <c r="B737" s="153" t="s">
        <v>228</v>
      </c>
      <c r="C737" s="153"/>
      <c r="D737" s="153" t="s">
        <v>0</v>
      </c>
      <c r="E737" s="153" t="s">
        <v>229</v>
      </c>
      <c r="F737" s="153" t="s">
        <v>230</v>
      </c>
      <c r="G737" s="188" t="s">
        <v>302</v>
      </c>
    </row>
    <row r="738" spans="1:7" ht="12.75" customHeight="1" x14ac:dyDescent="0.25">
      <c r="A738" s="153"/>
      <c r="B738" s="153"/>
      <c r="C738" s="153"/>
      <c r="D738" s="153"/>
      <c r="E738" s="153"/>
      <c r="F738" s="153"/>
      <c r="G738" s="188"/>
    </row>
    <row r="739" spans="1:7" ht="12.75" customHeight="1" x14ac:dyDescent="0.25">
      <c r="A739" s="153"/>
      <c r="B739" s="153"/>
      <c r="C739" s="153"/>
      <c r="D739" s="153"/>
      <c r="E739" s="153"/>
      <c r="F739" s="153"/>
      <c r="G739" s="188"/>
    </row>
    <row r="740" spans="1:7" ht="12.75" customHeight="1" x14ac:dyDescent="0.25">
      <c r="A740" s="57" t="s">
        <v>176</v>
      </c>
      <c r="B740" s="87"/>
      <c r="C740" s="87"/>
      <c r="D740" s="162" t="s">
        <v>352</v>
      </c>
      <c r="E740" s="173">
        <f>E742+E750+E753+E755+E748+E759</f>
        <v>116000</v>
      </c>
      <c r="F740" s="173">
        <f>F742+F750+F753+F755+F748+F759</f>
        <v>82129.31</v>
      </c>
      <c r="G740" s="186">
        <f>F740/E740*100</f>
        <v>70.80112931034482</v>
      </c>
    </row>
    <row r="741" spans="1:7" ht="12.75" customHeight="1" x14ac:dyDescent="0.25">
      <c r="A741" s="57"/>
      <c r="B741" s="87"/>
      <c r="C741" s="87"/>
      <c r="D741" s="163"/>
      <c r="E741" s="174"/>
      <c r="F741" s="174"/>
      <c r="G741" s="187"/>
    </row>
    <row r="742" spans="1:7" ht="12.75" customHeight="1" x14ac:dyDescent="0.25">
      <c r="A742" s="87"/>
      <c r="B742" s="60" t="s">
        <v>3</v>
      </c>
      <c r="C742" s="87"/>
      <c r="D742" s="61" t="s">
        <v>4</v>
      </c>
      <c r="E742" s="62">
        <f>SUM(E743:E747)</f>
        <v>45000</v>
      </c>
      <c r="F742" s="62">
        <f>SUM(F743:F747)</f>
        <v>41496.949999999997</v>
      </c>
      <c r="G742" s="116">
        <f t="shared" ref="G742:G761" si="27">F742/E742*100</f>
        <v>92.215444444444444</v>
      </c>
    </row>
    <row r="743" spans="1:7" ht="12.75" customHeight="1" x14ac:dyDescent="0.25">
      <c r="A743" s="87"/>
      <c r="B743" s="87"/>
      <c r="C743" s="63" t="s">
        <v>5</v>
      </c>
      <c r="D743" s="64" t="s">
        <v>6</v>
      </c>
      <c r="E743" s="95">
        <v>41800</v>
      </c>
      <c r="F743" s="95">
        <v>40321.769999999997</v>
      </c>
      <c r="G743" s="117">
        <f t="shared" si="27"/>
        <v>96.463564593301427</v>
      </c>
    </row>
    <row r="744" spans="1:7" ht="12.75" customHeight="1" x14ac:dyDescent="0.25">
      <c r="A744" s="87"/>
      <c r="B744" s="87"/>
      <c r="C744" s="63">
        <v>4112</v>
      </c>
      <c r="D744" s="64" t="s">
        <v>8</v>
      </c>
      <c r="E744" s="95">
        <v>480</v>
      </c>
      <c r="F744" s="95">
        <v>200.41</v>
      </c>
      <c r="G744" s="117">
        <f t="shared" si="27"/>
        <v>41.752083333333331</v>
      </c>
    </row>
    <row r="745" spans="1:7" ht="12.75" customHeight="1" x14ac:dyDescent="0.25">
      <c r="A745" s="87"/>
      <c r="B745" s="87"/>
      <c r="C745" s="63">
        <v>4113</v>
      </c>
      <c r="D745" s="64" t="s">
        <v>289</v>
      </c>
      <c r="E745" s="95">
        <v>1680</v>
      </c>
      <c r="F745" s="95">
        <v>461.29</v>
      </c>
      <c r="G745" s="117">
        <f t="shared" si="27"/>
        <v>27.457738095238099</v>
      </c>
    </row>
    <row r="746" spans="1:7" ht="12.75" customHeight="1" x14ac:dyDescent="0.25">
      <c r="A746" s="87"/>
      <c r="B746" s="87"/>
      <c r="C746" s="63">
        <v>4114</v>
      </c>
      <c r="D746" s="64" t="s">
        <v>290</v>
      </c>
      <c r="E746" s="95">
        <v>680</v>
      </c>
      <c r="F746" s="95">
        <v>184.52</v>
      </c>
      <c r="G746" s="117">
        <f t="shared" si="27"/>
        <v>27.135294117647064</v>
      </c>
    </row>
    <row r="747" spans="1:7" ht="12.75" customHeight="1" x14ac:dyDescent="0.25">
      <c r="A747" s="87"/>
      <c r="B747" s="87"/>
      <c r="C747" s="63">
        <v>4115</v>
      </c>
      <c r="D747" s="64" t="s">
        <v>14</v>
      </c>
      <c r="E747" s="95">
        <v>360</v>
      </c>
      <c r="F747" s="95">
        <v>328.96</v>
      </c>
      <c r="G747" s="117">
        <f t="shared" si="27"/>
        <v>91.377777777777766</v>
      </c>
    </row>
    <row r="748" spans="1:7" ht="12.75" customHeight="1" x14ac:dyDescent="0.25">
      <c r="A748" s="87"/>
      <c r="B748" s="60">
        <v>412</v>
      </c>
      <c r="C748" s="87"/>
      <c r="D748" s="61" t="s">
        <v>16</v>
      </c>
      <c r="E748" s="96">
        <f>+E749</f>
        <v>1000</v>
      </c>
      <c r="F748" s="96">
        <f>+F749</f>
        <v>324</v>
      </c>
      <c r="G748" s="116">
        <f t="shared" si="27"/>
        <v>32.4</v>
      </c>
    </row>
    <row r="749" spans="1:7" ht="12.75" customHeight="1" x14ac:dyDescent="0.25">
      <c r="A749" s="87"/>
      <c r="B749" s="60"/>
      <c r="C749" s="63">
        <v>4127</v>
      </c>
      <c r="D749" s="64" t="s">
        <v>18</v>
      </c>
      <c r="E749" s="95">
        <v>1000</v>
      </c>
      <c r="F749" s="95">
        <v>324</v>
      </c>
      <c r="G749" s="117">
        <f t="shared" si="27"/>
        <v>32.4</v>
      </c>
    </row>
    <row r="750" spans="1:7" ht="12.75" customHeight="1" x14ac:dyDescent="0.25">
      <c r="A750" s="87"/>
      <c r="B750" s="60" t="s">
        <v>27</v>
      </c>
      <c r="C750" s="87"/>
      <c r="D750" s="61" t="s">
        <v>28</v>
      </c>
      <c r="E750" s="96">
        <f>+E751+E752</f>
        <v>1000</v>
      </c>
      <c r="F750" s="96">
        <f>+F751+F752</f>
        <v>43</v>
      </c>
      <c r="G750" s="116">
        <f t="shared" si="27"/>
        <v>4.3</v>
      </c>
    </row>
    <row r="751" spans="1:7" ht="12.75" customHeight="1" x14ac:dyDescent="0.25">
      <c r="A751" s="87"/>
      <c r="B751" s="87"/>
      <c r="C751" s="63" t="s">
        <v>29</v>
      </c>
      <c r="D751" s="64" t="s">
        <v>30</v>
      </c>
      <c r="E751" s="95">
        <v>500</v>
      </c>
      <c r="F751" s="95">
        <v>43</v>
      </c>
      <c r="G751" s="117">
        <f t="shared" si="27"/>
        <v>8.6</v>
      </c>
    </row>
    <row r="752" spans="1:7" ht="12.75" customHeight="1" x14ac:dyDescent="0.25">
      <c r="A752" s="87"/>
      <c r="B752" s="87"/>
      <c r="C752" s="63">
        <v>4149</v>
      </c>
      <c r="D752" s="64" t="s">
        <v>38</v>
      </c>
      <c r="E752" s="95">
        <v>500</v>
      </c>
      <c r="F752" s="95">
        <v>0</v>
      </c>
      <c r="G752" s="95">
        <v>0</v>
      </c>
    </row>
    <row r="753" spans="1:7" ht="12.75" customHeight="1" x14ac:dyDescent="0.25">
      <c r="A753" s="87"/>
      <c r="B753" s="60">
        <v>419</v>
      </c>
      <c r="C753" s="63"/>
      <c r="D753" s="61" t="s">
        <v>89</v>
      </c>
      <c r="E753" s="96">
        <f>+E754</f>
        <v>20000</v>
      </c>
      <c r="F753" s="96">
        <f>+F754</f>
        <v>10947.36</v>
      </c>
      <c r="G753" s="116">
        <f t="shared" si="27"/>
        <v>54.736800000000009</v>
      </c>
    </row>
    <row r="754" spans="1:7" ht="12" customHeight="1" x14ac:dyDescent="0.25">
      <c r="A754" s="87"/>
      <c r="B754" s="87"/>
      <c r="C754" s="63">
        <v>4193</v>
      </c>
      <c r="D754" s="64" t="s">
        <v>177</v>
      </c>
      <c r="E754" s="95">
        <v>20000</v>
      </c>
      <c r="F754" s="95">
        <v>10947.36</v>
      </c>
      <c r="G754" s="117">
        <f t="shared" si="27"/>
        <v>54.736800000000009</v>
      </c>
    </row>
    <row r="755" spans="1:7" ht="12.75" hidden="1" customHeight="1" x14ac:dyDescent="0.25">
      <c r="A755" s="87"/>
      <c r="B755" s="60" t="s">
        <v>47</v>
      </c>
      <c r="C755" s="87"/>
      <c r="D755" s="61" t="s">
        <v>48</v>
      </c>
      <c r="E755" s="96">
        <f t="shared" ref="E755:F757" si="28">+E756</f>
        <v>14000</v>
      </c>
      <c r="F755" s="96">
        <f t="shared" si="28"/>
        <v>0</v>
      </c>
      <c r="G755" s="117">
        <f t="shared" si="27"/>
        <v>0</v>
      </c>
    </row>
    <row r="756" spans="1:7" ht="12.75" customHeight="1" x14ac:dyDescent="0.25">
      <c r="A756" s="87"/>
      <c r="B756" s="60" t="s">
        <v>47</v>
      </c>
      <c r="C756" s="58"/>
      <c r="D756" s="60" t="s">
        <v>48</v>
      </c>
      <c r="E756" s="96">
        <f t="shared" si="28"/>
        <v>14000</v>
      </c>
      <c r="F756" s="96">
        <f t="shared" si="28"/>
        <v>0</v>
      </c>
      <c r="G756" s="96">
        <v>0</v>
      </c>
    </row>
    <row r="757" spans="1:7" ht="12.75" customHeight="1" x14ac:dyDescent="0.25">
      <c r="A757" s="87"/>
      <c r="B757" s="87"/>
      <c r="C757" s="63" t="s">
        <v>49</v>
      </c>
      <c r="D757" s="64" t="s">
        <v>50</v>
      </c>
      <c r="E757" s="95">
        <f t="shared" si="28"/>
        <v>14000</v>
      </c>
      <c r="F757" s="95">
        <f t="shared" si="28"/>
        <v>0</v>
      </c>
      <c r="G757" s="95">
        <v>0</v>
      </c>
    </row>
    <row r="758" spans="1:7" ht="12.75" customHeight="1" x14ac:dyDescent="0.25">
      <c r="A758" s="87"/>
      <c r="B758" s="87"/>
      <c r="C758" s="65">
        <v>44154</v>
      </c>
      <c r="D758" s="64" t="s">
        <v>388</v>
      </c>
      <c r="E758" s="95">
        <v>14000</v>
      </c>
      <c r="F758" s="95">
        <v>0</v>
      </c>
      <c r="G758" s="95">
        <v>0</v>
      </c>
    </row>
    <row r="759" spans="1:7" ht="12.75" customHeight="1" x14ac:dyDescent="0.25">
      <c r="A759" s="87"/>
      <c r="B759" s="60" t="s">
        <v>53</v>
      </c>
      <c r="C759" s="87"/>
      <c r="D759" s="61" t="s">
        <v>54</v>
      </c>
      <c r="E759" s="96">
        <f>+E760</f>
        <v>35000</v>
      </c>
      <c r="F759" s="96">
        <f>+F760</f>
        <v>29318</v>
      </c>
      <c r="G759" s="116">
        <f t="shared" si="27"/>
        <v>83.765714285714282</v>
      </c>
    </row>
    <row r="760" spans="1:7" ht="12.75" customHeight="1" x14ac:dyDescent="0.25">
      <c r="A760" s="87"/>
      <c r="B760" s="87"/>
      <c r="C760" s="63" t="s">
        <v>55</v>
      </c>
      <c r="D760" s="64" t="s">
        <v>56</v>
      </c>
      <c r="E760" s="95">
        <f>+E761</f>
        <v>35000</v>
      </c>
      <c r="F760" s="95">
        <f>+F761</f>
        <v>29318</v>
      </c>
      <c r="G760" s="117">
        <f t="shared" si="27"/>
        <v>83.765714285714282</v>
      </c>
    </row>
    <row r="761" spans="1:7" ht="12.75" customHeight="1" x14ac:dyDescent="0.25">
      <c r="A761" s="87"/>
      <c r="B761" s="87"/>
      <c r="C761" s="65" t="s">
        <v>57</v>
      </c>
      <c r="D761" s="64" t="s">
        <v>58</v>
      </c>
      <c r="E761" s="95">
        <v>35000</v>
      </c>
      <c r="F761" s="95">
        <v>29318</v>
      </c>
      <c r="G761" s="117">
        <f t="shared" si="27"/>
        <v>83.765714285714282</v>
      </c>
    </row>
    <row r="762" spans="1:7" ht="12.75" customHeight="1" x14ac:dyDescent="0.25">
      <c r="A762" s="153" t="s">
        <v>301</v>
      </c>
      <c r="B762" s="153" t="s">
        <v>228</v>
      </c>
      <c r="C762" s="153"/>
      <c r="D762" s="161" t="s">
        <v>0</v>
      </c>
      <c r="E762" s="153" t="s">
        <v>229</v>
      </c>
      <c r="F762" s="153" t="s">
        <v>230</v>
      </c>
      <c r="G762" s="188" t="s">
        <v>302</v>
      </c>
    </row>
    <row r="763" spans="1:7" ht="12.75" customHeight="1" x14ac:dyDescent="0.25">
      <c r="A763" s="153"/>
      <c r="B763" s="153"/>
      <c r="C763" s="153"/>
      <c r="D763" s="161"/>
      <c r="E763" s="153"/>
      <c r="F763" s="153"/>
      <c r="G763" s="188"/>
    </row>
    <row r="764" spans="1:7" ht="12.75" customHeight="1" x14ac:dyDescent="0.25">
      <c r="A764" s="153"/>
      <c r="B764" s="153"/>
      <c r="C764" s="153"/>
      <c r="D764" s="161"/>
      <c r="E764" s="153"/>
      <c r="F764" s="153"/>
      <c r="G764" s="188"/>
    </row>
    <row r="765" spans="1:7" ht="12.75" customHeight="1" x14ac:dyDescent="0.25">
      <c r="A765" s="57" t="s">
        <v>198</v>
      </c>
      <c r="B765" s="58"/>
      <c r="C765" s="58"/>
      <c r="D765" s="162" t="s">
        <v>358</v>
      </c>
      <c r="E765" s="173">
        <f>E767+E773+E775+E778+E792+E794</f>
        <v>909960</v>
      </c>
      <c r="F765" s="173">
        <f>F767+F773+F775+F778+F792+F794</f>
        <v>875503.88</v>
      </c>
      <c r="G765" s="186">
        <f>F765/E765*100</f>
        <v>96.213446744911863</v>
      </c>
    </row>
    <row r="766" spans="1:7" ht="14.25" customHeight="1" x14ac:dyDescent="0.25">
      <c r="A766" s="57"/>
      <c r="B766" s="58"/>
      <c r="C766" s="58"/>
      <c r="D766" s="163"/>
      <c r="E766" s="174"/>
      <c r="F766" s="174"/>
      <c r="G766" s="187"/>
    </row>
    <row r="767" spans="1:7" ht="12.75" customHeight="1" x14ac:dyDescent="0.25">
      <c r="A767" s="58"/>
      <c r="B767" s="60" t="s">
        <v>3</v>
      </c>
      <c r="C767" s="58"/>
      <c r="D767" s="61" t="s">
        <v>4</v>
      </c>
      <c r="E767" s="62">
        <f>SUM(E768:E772)</f>
        <v>100360</v>
      </c>
      <c r="F767" s="62">
        <f>SUM(F768:F772)</f>
        <v>95160.95</v>
      </c>
      <c r="G767" s="116">
        <f t="shared" ref="G767:G796" si="29">F767/E767*100</f>
        <v>94.819599442008766</v>
      </c>
    </row>
    <row r="768" spans="1:7" ht="12.75" customHeight="1" x14ac:dyDescent="0.25">
      <c r="A768" s="58"/>
      <c r="B768" s="58"/>
      <c r="C768" s="63" t="s">
        <v>5</v>
      </c>
      <c r="D768" s="64" t="s">
        <v>6</v>
      </c>
      <c r="E768" s="95">
        <f>89650+5200</f>
        <v>94850</v>
      </c>
      <c r="F768" s="95">
        <v>94722.34</v>
      </c>
      <c r="G768" s="117">
        <f t="shared" si="29"/>
        <v>99.865408539799688</v>
      </c>
    </row>
    <row r="769" spans="1:7" ht="12.75" customHeight="1" x14ac:dyDescent="0.25">
      <c r="A769" s="58"/>
      <c r="B769" s="58"/>
      <c r="C769" s="63" t="s">
        <v>7</v>
      </c>
      <c r="D769" s="64" t="s">
        <v>8</v>
      </c>
      <c r="E769" s="95">
        <v>650</v>
      </c>
      <c r="F769" s="95">
        <v>0</v>
      </c>
      <c r="G769" s="95">
        <v>0</v>
      </c>
    </row>
    <row r="770" spans="1:7" ht="12.75" customHeight="1" x14ac:dyDescent="0.25">
      <c r="A770" s="58"/>
      <c r="B770" s="58"/>
      <c r="C770" s="63" t="s">
        <v>9</v>
      </c>
      <c r="D770" s="64" t="s">
        <v>10</v>
      </c>
      <c r="E770" s="95">
        <v>3100</v>
      </c>
      <c r="F770" s="95">
        <v>0</v>
      </c>
      <c r="G770" s="95">
        <v>0</v>
      </c>
    </row>
    <row r="771" spans="1:7" ht="12.75" customHeight="1" x14ac:dyDescent="0.25">
      <c r="A771" s="58"/>
      <c r="B771" s="58"/>
      <c r="C771" s="63" t="s">
        <v>11</v>
      </c>
      <c r="D771" s="64" t="s">
        <v>12</v>
      </c>
      <c r="E771" s="95">
        <v>1280</v>
      </c>
      <c r="F771" s="95">
        <v>0</v>
      </c>
      <c r="G771" s="95">
        <v>0</v>
      </c>
    </row>
    <row r="772" spans="1:7" ht="12.75" customHeight="1" x14ac:dyDescent="0.25">
      <c r="A772" s="58"/>
      <c r="B772" s="58"/>
      <c r="C772" s="63" t="s">
        <v>13</v>
      </c>
      <c r="D772" s="64" t="s">
        <v>14</v>
      </c>
      <c r="E772" s="95">
        <v>480</v>
      </c>
      <c r="F772" s="95">
        <v>438.61</v>
      </c>
      <c r="G772" s="117">
        <f t="shared" si="29"/>
        <v>91.377083333333331</v>
      </c>
    </row>
    <row r="773" spans="1:7" ht="12.75" customHeight="1" x14ac:dyDescent="0.25">
      <c r="A773" s="58"/>
      <c r="B773" s="60" t="s">
        <v>15</v>
      </c>
      <c r="C773" s="58"/>
      <c r="D773" s="61" t="s">
        <v>16</v>
      </c>
      <c r="E773" s="96">
        <f>+E774</f>
        <v>1000</v>
      </c>
      <c r="F773" s="96">
        <f>+F774</f>
        <v>0</v>
      </c>
      <c r="G773" s="96">
        <v>0</v>
      </c>
    </row>
    <row r="774" spans="1:7" ht="12.75" customHeight="1" x14ac:dyDescent="0.25">
      <c r="A774" s="58"/>
      <c r="B774" s="58"/>
      <c r="C774" s="63" t="s">
        <v>17</v>
      </c>
      <c r="D774" s="64" t="s">
        <v>18</v>
      </c>
      <c r="E774" s="95">
        <v>1000</v>
      </c>
      <c r="F774" s="95">
        <v>0</v>
      </c>
      <c r="G774" s="95">
        <v>0</v>
      </c>
    </row>
    <row r="775" spans="1:7" ht="12.75" customHeight="1" x14ac:dyDescent="0.25">
      <c r="A775" s="58"/>
      <c r="B775" s="60" t="s">
        <v>27</v>
      </c>
      <c r="C775" s="58"/>
      <c r="D775" s="61" t="s">
        <v>28</v>
      </c>
      <c r="E775" s="96">
        <f>+E776+E777</f>
        <v>2000</v>
      </c>
      <c r="F775" s="96">
        <f>+F776+F777</f>
        <v>702.8</v>
      </c>
      <c r="G775" s="116">
        <f t="shared" si="29"/>
        <v>35.14</v>
      </c>
    </row>
    <row r="776" spans="1:7" ht="12.75" customHeight="1" x14ac:dyDescent="0.25">
      <c r="A776" s="58"/>
      <c r="B776" s="58"/>
      <c r="C776" s="63" t="s">
        <v>29</v>
      </c>
      <c r="D776" s="64" t="s">
        <v>30</v>
      </c>
      <c r="E776" s="95">
        <v>1000</v>
      </c>
      <c r="F776" s="95">
        <v>435</v>
      </c>
      <c r="G776" s="117">
        <f t="shared" si="29"/>
        <v>43.5</v>
      </c>
    </row>
    <row r="777" spans="1:7" ht="12.75" customHeight="1" x14ac:dyDescent="0.25">
      <c r="A777" s="58"/>
      <c r="B777" s="58"/>
      <c r="C777" s="63">
        <v>4149</v>
      </c>
      <c r="D777" s="64" t="s">
        <v>38</v>
      </c>
      <c r="E777" s="95">
        <v>1000</v>
      </c>
      <c r="F777" s="95">
        <v>267.8</v>
      </c>
      <c r="G777" s="117">
        <f t="shared" si="29"/>
        <v>26.780000000000005</v>
      </c>
    </row>
    <row r="778" spans="1:7" ht="12.75" customHeight="1" x14ac:dyDescent="0.25">
      <c r="A778" s="58"/>
      <c r="B778" s="60" t="s">
        <v>43</v>
      </c>
      <c r="C778" s="58"/>
      <c r="D778" s="61" t="s">
        <v>44</v>
      </c>
      <c r="E778" s="96">
        <f>+E779+E787+E788+E789</f>
        <v>781100</v>
      </c>
      <c r="F778" s="96">
        <f>+F779+F787+F788+F789</f>
        <v>760587.96</v>
      </c>
      <c r="G778" s="116">
        <f t="shared" si="29"/>
        <v>97.373954679298421</v>
      </c>
    </row>
    <row r="779" spans="1:7" ht="12.75" customHeight="1" x14ac:dyDescent="0.25">
      <c r="A779" s="58"/>
      <c r="B779" s="58"/>
      <c r="C779" s="63" t="s">
        <v>124</v>
      </c>
      <c r="D779" s="64" t="s">
        <v>125</v>
      </c>
      <c r="E779" s="95">
        <f>+E780</f>
        <v>36600</v>
      </c>
      <c r="F779" s="95">
        <f>+F780</f>
        <v>31971.08</v>
      </c>
      <c r="G779" s="117">
        <f t="shared" si="29"/>
        <v>87.352677595628421</v>
      </c>
    </row>
    <row r="780" spans="1:7" ht="12.75" customHeight="1" x14ac:dyDescent="0.25">
      <c r="A780" s="58"/>
      <c r="B780" s="58"/>
      <c r="C780" s="65" t="s">
        <v>126</v>
      </c>
      <c r="D780" s="64" t="s">
        <v>127</v>
      </c>
      <c r="E780" s="95">
        <f>+E781+E782+E783+E784+E785+E786</f>
        <v>36600</v>
      </c>
      <c r="F780" s="95">
        <f>+F781+F782+F783+F784+F785+F786</f>
        <v>31971.08</v>
      </c>
      <c r="G780" s="117">
        <f t="shared" si="29"/>
        <v>87.352677595628421</v>
      </c>
    </row>
    <row r="781" spans="1:7" ht="12.75" customHeight="1" x14ac:dyDescent="0.25">
      <c r="A781" s="58"/>
      <c r="B781" s="58"/>
      <c r="C781" s="70">
        <v>431324</v>
      </c>
      <c r="D781" s="64" t="s">
        <v>359</v>
      </c>
      <c r="E781" s="95">
        <v>100</v>
      </c>
      <c r="F781" s="95">
        <v>0</v>
      </c>
      <c r="G781" s="95">
        <v>0</v>
      </c>
    </row>
    <row r="782" spans="1:7" ht="12.75" customHeight="1" x14ac:dyDescent="0.25">
      <c r="A782" s="58"/>
      <c r="B782" s="58"/>
      <c r="C782" s="70" t="s">
        <v>217</v>
      </c>
      <c r="D782" s="64" t="s">
        <v>218</v>
      </c>
      <c r="E782" s="95">
        <f>26000+200</f>
        <v>26200</v>
      </c>
      <c r="F782" s="95">
        <v>26170.25</v>
      </c>
      <c r="G782" s="117">
        <f t="shared" si="29"/>
        <v>99.886450381679396</v>
      </c>
    </row>
    <row r="783" spans="1:7" ht="12.75" customHeight="1" x14ac:dyDescent="0.25">
      <c r="A783" s="58"/>
      <c r="B783" s="58"/>
      <c r="C783" s="70" t="s">
        <v>219</v>
      </c>
      <c r="D783" s="64" t="s">
        <v>220</v>
      </c>
      <c r="E783" s="95">
        <v>100</v>
      </c>
      <c r="F783" s="95">
        <v>0</v>
      </c>
      <c r="G783" s="95">
        <v>0</v>
      </c>
    </row>
    <row r="784" spans="1:7" ht="12.75" customHeight="1" x14ac:dyDescent="0.25">
      <c r="A784" s="58"/>
      <c r="B784" s="58"/>
      <c r="C784" s="70" t="s">
        <v>128</v>
      </c>
      <c r="D784" s="64" t="s">
        <v>389</v>
      </c>
      <c r="E784" s="95">
        <v>100</v>
      </c>
      <c r="F784" s="95">
        <v>0</v>
      </c>
      <c r="G784" s="95">
        <v>0</v>
      </c>
    </row>
    <row r="785" spans="1:7" ht="12.75" customHeight="1" x14ac:dyDescent="0.25">
      <c r="A785" s="58"/>
      <c r="B785" s="58"/>
      <c r="C785" s="70" t="s">
        <v>221</v>
      </c>
      <c r="D785" s="64" t="s">
        <v>222</v>
      </c>
      <c r="E785" s="95">
        <v>100</v>
      </c>
      <c r="F785" s="95">
        <v>0</v>
      </c>
      <c r="G785" s="95">
        <v>0</v>
      </c>
    </row>
    <row r="786" spans="1:7" ht="12.75" customHeight="1" x14ac:dyDescent="0.25">
      <c r="A786" s="58"/>
      <c r="B786" s="58"/>
      <c r="C786" s="70" t="s">
        <v>129</v>
      </c>
      <c r="D786" s="64" t="s">
        <v>130</v>
      </c>
      <c r="E786" s="95">
        <v>10000</v>
      </c>
      <c r="F786" s="95">
        <v>5800.83</v>
      </c>
      <c r="G786" s="117">
        <f t="shared" si="29"/>
        <v>58.008299999999998</v>
      </c>
    </row>
    <row r="787" spans="1:7" ht="12.75" customHeight="1" x14ac:dyDescent="0.25">
      <c r="A787" s="58"/>
      <c r="B787" s="58"/>
      <c r="C787" s="63" t="s">
        <v>223</v>
      </c>
      <c r="D787" s="64" t="s">
        <v>224</v>
      </c>
      <c r="E787" s="95">
        <v>10000</v>
      </c>
      <c r="F787" s="95">
        <v>9236.5400000000009</v>
      </c>
      <c r="G787" s="117">
        <f t="shared" si="29"/>
        <v>92.365400000000008</v>
      </c>
    </row>
    <row r="788" spans="1:7" ht="12.75" customHeight="1" x14ac:dyDescent="0.25">
      <c r="A788" s="58"/>
      <c r="B788" s="58"/>
      <c r="C788" s="63" t="s">
        <v>102</v>
      </c>
      <c r="D788" s="64" t="s">
        <v>333</v>
      </c>
      <c r="E788" s="95">
        <v>16000</v>
      </c>
      <c r="F788" s="95">
        <v>1544.9</v>
      </c>
      <c r="G788" s="117">
        <f t="shared" si="29"/>
        <v>9.6556250000000006</v>
      </c>
    </row>
    <row r="789" spans="1:7" ht="12.75" customHeight="1" x14ac:dyDescent="0.25">
      <c r="A789" s="58"/>
      <c r="B789" s="58"/>
      <c r="C789" s="63">
        <v>4319</v>
      </c>
      <c r="D789" s="64" t="s">
        <v>106</v>
      </c>
      <c r="E789" s="95">
        <f>+E790+E791</f>
        <v>718500</v>
      </c>
      <c r="F789" s="95">
        <f>+F790+F791</f>
        <v>717835.44</v>
      </c>
      <c r="G789" s="117">
        <f t="shared" si="29"/>
        <v>99.907507306889343</v>
      </c>
    </row>
    <row r="790" spans="1:7" ht="12.75" customHeight="1" x14ac:dyDescent="0.25">
      <c r="A790" s="58"/>
      <c r="B790" s="58"/>
      <c r="C790" s="70">
        <v>43195</v>
      </c>
      <c r="D790" s="64" t="s">
        <v>318</v>
      </c>
      <c r="E790" s="95">
        <f>370000+24000</f>
        <v>394000</v>
      </c>
      <c r="F790" s="95">
        <v>393500</v>
      </c>
      <c r="G790" s="117">
        <f t="shared" si="29"/>
        <v>99.873096446700501</v>
      </c>
    </row>
    <row r="791" spans="1:7" ht="12.75" customHeight="1" x14ac:dyDescent="0.25">
      <c r="A791" s="58"/>
      <c r="B791" s="58"/>
      <c r="C791" s="70">
        <v>43199</v>
      </c>
      <c r="D791" s="64" t="s">
        <v>327</v>
      </c>
      <c r="E791" s="95">
        <f>310000+14500</f>
        <v>324500</v>
      </c>
      <c r="F791" s="95">
        <v>324335.44</v>
      </c>
      <c r="G791" s="117">
        <f t="shared" si="29"/>
        <v>99.949288135593221</v>
      </c>
    </row>
    <row r="792" spans="1:7" ht="12.75" customHeight="1" x14ac:dyDescent="0.25">
      <c r="A792" s="58"/>
      <c r="B792" s="75">
        <v>441</v>
      </c>
      <c r="C792" s="63"/>
      <c r="D792" s="61" t="s">
        <v>48</v>
      </c>
      <c r="E792" s="96">
        <f>+E793</f>
        <v>500</v>
      </c>
      <c r="F792" s="96">
        <f>+F793</f>
        <v>0</v>
      </c>
      <c r="G792" s="96">
        <v>0</v>
      </c>
    </row>
    <row r="793" spans="1:7" ht="12.75" customHeight="1" x14ac:dyDescent="0.25">
      <c r="A793" s="58"/>
      <c r="B793" s="58"/>
      <c r="C793" s="63" t="s">
        <v>49</v>
      </c>
      <c r="D793" s="64" t="s">
        <v>50</v>
      </c>
      <c r="E793" s="95">
        <v>500</v>
      </c>
      <c r="F793" s="95">
        <v>0</v>
      </c>
      <c r="G793" s="95">
        <v>0</v>
      </c>
    </row>
    <row r="794" spans="1:7" ht="12.75" customHeight="1" x14ac:dyDescent="0.25">
      <c r="A794" s="58"/>
      <c r="B794" s="60" t="s">
        <v>53</v>
      </c>
      <c r="C794" s="58"/>
      <c r="D794" s="61" t="s">
        <v>54</v>
      </c>
      <c r="E794" s="96">
        <f>+E795</f>
        <v>25000</v>
      </c>
      <c r="F794" s="96">
        <f>+F795</f>
        <v>19052.169999999998</v>
      </c>
      <c r="G794" s="116">
        <f t="shared" si="29"/>
        <v>76.208680000000001</v>
      </c>
    </row>
    <row r="795" spans="1:7" ht="12.75" customHeight="1" x14ac:dyDescent="0.25">
      <c r="A795" s="58"/>
      <c r="B795" s="58"/>
      <c r="C795" s="63" t="s">
        <v>55</v>
      </c>
      <c r="D795" s="64" t="s">
        <v>56</v>
      </c>
      <c r="E795" s="95">
        <f>+E796</f>
        <v>25000</v>
      </c>
      <c r="F795" s="95">
        <f>+F796</f>
        <v>19052.169999999998</v>
      </c>
      <c r="G795" s="117">
        <f t="shared" si="29"/>
        <v>76.208680000000001</v>
      </c>
    </row>
    <row r="796" spans="1:7" ht="12.75" customHeight="1" x14ac:dyDescent="0.25">
      <c r="A796" s="58"/>
      <c r="B796" s="58"/>
      <c r="C796" s="65" t="s">
        <v>57</v>
      </c>
      <c r="D796" s="64" t="s">
        <v>58</v>
      </c>
      <c r="E796" s="95">
        <v>25000</v>
      </c>
      <c r="F796" s="95">
        <v>19052.169999999998</v>
      </c>
      <c r="G796" s="117">
        <f t="shared" si="29"/>
        <v>76.208680000000001</v>
      </c>
    </row>
    <row r="798" spans="1:7" ht="12.75" customHeight="1" x14ac:dyDescent="0.25">
      <c r="A798" s="76"/>
      <c r="B798" s="76"/>
      <c r="C798" s="76"/>
      <c r="D798" s="77" t="s">
        <v>303</v>
      </c>
      <c r="E798" s="78">
        <f>E656+E633+E601+E580+E540+E518+E496+E465+E438+E416+E390+E351+E298+E693+E274+E239+E206+E740+E765</f>
        <v>14300000</v>
      </c>
      <c r="F798" s="78">
        <f>F656+F633+F601+F580+F540+F518+F496+F465+F438+F416+F390+F351+F298+F693+F274+F239+F206+F740+F765-0.03</f>
        <v>12407388.470000003</v>
      </c>
      <c r="G798" s="105">
        <f>F798/E798*100</f>
        <v>86.764954335664356</v>
      </c>
    </row>
    <row r="800" spans="1:7" ht="12.75" customHeight="1" x14ac:dyDescent="0.25">
      <c r="G800" s="119"/>
    </row>
    <row r="801" spans="7:7" ht="12.75" customHeight="1" x14ac:dyDescent="0.25">
      <c r="G801" s="119"/>
    </row>
    <row r="802" spans="7:7" ht="12.75" customHeight="1" x14ac:dyDescent="0.25">
      <c r="G802" s="119"/>
    </row>
    <row r="803" spans="7:7" ht="12.75" customHeight="1" x14ac:dyDescent="0.25">
      <c r="G803" s="119"/>
    </row>
    <row r="804" spans="7:7" ht="12.75" customHeight="1" x14ac:dyDescent="0.25">
      <c r="G804" s="119"/>
    </row>
    <row r="805" spans="7:7" ht="12.75" customHeight="1" x14ac:dyDescent="0.25">
      <c r="G805" s="119"/>
    </row>
    <row r="806" spans="7:7" ht="12.75" customHeight="1" x14ac:dyDescent="0.25">
      <c r="G806" s="119"/>
    </row>
    <row r="807" spans="7:7" ht="12.75" customHeight="1" x14ac:dyDescent="0.25">
      <c r="G807" s="119"/>
    </row>
    <row r="808" spans="7:7" ht="12.75" customHeight="1" x14ac:dyDescent="0.25">
      <c r="G808" s="119"/>
    </row>
    <row r="809" spans="7:7" ht="12.75" customHeight="1" x14ac:dyDescent="0.25">
      <c r="G809" s="119"/>
    </row>
    <row r="810" spans="7:7" ht="12.75" customHeight="1" x14ac:dyDescent="0.25">
      <c r="G810" s="119"/>
    </row>
    <row r="811" spans="7:7" ht="12.75" customHeight="1" x14ac:dyDescent="0.25">
      <c r="G811" s="119"/>
    </row>
    <row r="812" spans="7:7" ht="12.75" customHeight="1" x14ac:dyDescent="0.25">
      <c r="G812" s="119"/>
    </row>
    <row r="813" spans="7:7" ht="12.75" customHeight="1" x14ac:dyDescent="0.25">
      <c r="G813" s="119"/>
    </row>
    <row r="814" spans="7:7" ht="12.75" customHeight="1" x14ac:dyDescent="0.25">
      <c r="G814" s="119"/>
    </row>
    <row r="815" spans="7:7" ht="12.75" customHeight="1" x14ac:dyDescent="0.25">
      <c r="G815" s="119"/>
    </row>
    <row r="816" spans="7:7" ht="12.75" customHeight="1" x14ac:dyDescent="0.25">
      <c r="G816" s="119"/>
    </row>
    <row r="817" spans="7:7" ht="12.75" customHeight="1" x14ac:dyDescent="0.25">
      <c r="G817" s="119"/>
    </row>
    <row r="818" spans="7:7" ht="12.75" customHeight="1" x14ac:dyDescent="0.25">
      <c r="G818" s="119"/>
    </row>
    <row r="819" spans="7:7" ht="12.75" customHeight="1" x14ac:dyDescent="0.25">
      <c r="G819" s="119"/>
    </row>
    <row r="820" spans="7:7" ht="12.75" customHeight="1" x14ac:dyDescent="0.25">
      <c r="G820" s="119"/>
    </row>
    <row r="821" spans="7:7" ht="12.75" customHeight="1" x14ac:dyDescent="0.25">
      <c r="G821" s="119"/>
    </row>
    <row r="822" spans="7:7" ht="12.75" customHeight="1" x14ac:dyDescent="0.25">
      <c r="G822" s="119"/>
    </row>
    <row r="823" spans="7:7" ht="12.75" customHeight="1" x14ac:dyDescent="0.25">
      <c r="G823" s="119"/>
    </row>
    <row r="824" spans="7:7" ht="12.75" customHeight="1" x14ac:dyDescent="0.25">
      <c r="G824" s="119"/>
    </row>
    <row r="825" spans="7:7" ht="12.75" customHeight="1" x14ac:dyDescent="0.25">
      <c r="G825" s="119"/>
    </row>
    <row r="826" spans="7:7" ht="12.75" customHeight="1" x14ac:dyDescent="0.25">
      <c r="G826" s="119"/>
    </row>
    <row r="827" spans="7:7" ht="12.75" customHeight="1" x14ac:dyDescent="0.25">
      <c r="G827" s="119"/>
    </row>
    <row r="828" spans="7:7" ht="12.75" customHeight="1" x14ac:dyDescent="0.25">
      <c r="G828" s="119"/>
    </row>
    <row r="829" spans="7:7" ht="12.75" customHeight="1" x14ac:dyDescent="0.25">
      <c r="G829" s="119"/>
    </row>
    <row r="830" spans="7:7" ht="12.75" customHeight="1" x14ac:dyDescent="0.25">
      <c r="G830" s="119"/>
    </row>
    <row r="831" spans="7:7" ht="12.75" customHeight="1" x14ac:dyDescent="0.25">
      <c r="G831" s="119"/>
    </row>
    <row r="832" spans="7:7" ht="12.75" customHeight="1" x14ac:dyDescent="0.25">
      <c r="G832" s="119"/>
    </row>
    <row r="833" spans="7:7" ht="12.75" customHeight="1" x14ac:dyDescent="0.25">
      <c r="G833" s="119"/>
    </row>
    <row r="834" spans="7:7" ht="12.75" customHeight="1" x14ac:dyDescent="0.25">
      <c r="G834" s="119"/>
    </row>
    <row r="835" spans="7:7" ht="12.75" customHeight="1" x14ac:dyDescent="0.25">
      <c r="G835" s="119"/>
    </row>
    <row r="836" spans="7:7" ht="12.75" customHeight="1" x14ac:dyDescent="0.25">
      <c r="G836" s="119"/>
    </row>
    <row r="837" spans="7:7" ht="12.75" customHeight="1" x14ac:dyDescent="0.25">
      <c r="G837" s="119"/>
    </row>
    <row r="838" spans="7:7" ht="12.75" customHeight="1" x14ac:dyDescent="0.25">
      <c r="G838" s="119"/>
    </row>
    <row r="839" spans="7:7" ht="12.75" customHeight="1" x14ac:dyDescent="0.25">
      <c r="G839" s="119"/>
    </row>
    <row r="840" spans="7:7" ht="12.75" customHeight="1" x14ac:dyDescent="0.25">
      <c r="G840" s="119"/>
    </row>
  </sheetData>
  <mergeCells count="369">
    <mergeCell ref="G537:G539"/>
    <mergeCell ref="F518:F519"/>
    <mergeCell ref="G633:G634"/>
    <mergeCell ref="E656:E657"/>
    <mergeCell ref="F656:F657"/>
    <mergeCell ref="G271:G273"/>
    <mergeCell ref="E438:E439"/>
    <mergeCell ref="F438:F439"/>
    <mergeCell ref="F653:F655"/>
    <mergeCell ref="G298:G299"/>
    <mergeCell ref="E413:E415"/>
    <mergeCell ref="F413:F415"/>
    <mergeCell ref="G413:G415"/>
    <mergeCell ref="A737:A739"/>
    <mergeCell ref="B737:C739"/>
    <mergeCell ref="D737:D739"/>
    <mergeCell ref="E737:E739"/>
    <mergeCell ref="F737:F739"/>
    <mergeCell ref="G737:G739"/>
    <mergeCell ref="G435:G437"/>
    <mergeCell ref="E416:E417"/>
    <mergeCell ref="F416:F417"/>
    <mergeCell ref="G416:G417"/>
    <mergeCell ref="D656:D657"/>
    <mergeCell ref="D416:D417"/>
    <mergeCell ref="D438:D439"/>
    <mergeCell ref="D465:D466"/>
    <mergeCell ref="D496:D497"/>
    <mergeCell ref="D518:D519"/>
    <mergeCell ref="D540:D541"/>
    <mergeCell ref="D580:D581"/>
    <mergeCell ref="A577:A579"/>
    <mergeCell ref="B630:C632"/>
    <mergeCell ref="A653:A655"/>
    <mergeCell ref="B653:C655"/>
    <mergeCell ref="D653:D655"/>
    <mergeCell ref="E653:E655"/>
    <mergeCell ref="B121:C121"/>
    <mergeCell ref="B122:C122"/>
    <mergeCell ref="B123:C123"/>
    <mergeCell ref="B124:C124"/>
    <mergeCell ref="B125:C125"/>
    <mergeCell ref="G762:G764"/>
    <mergeCell ref="D765:D766"/>
    <mergeCell ref="E765:E766"/>
    <mergeCell ref="F765:F766"/>
    <mergeCell ref="G765:G766"/>
    <mergeCell ref="G518:G519"/>
    <mergeCell ref="B598:C600"/>
    <mergeCell ref="G690:G692"/>
    <mergeCell ref="F690:F692"/>
    <mergeCell ref="G656:G657"/>
    <mergeCell ref="E580:E581"/>
    <mergeCell ref="D740:D741"/>
    <mergeCell ref="E740:E741"/>
    <mergeCell ref="F740:F741"/>
    <mergeCell ref="G740:G741"/>
    <mergeCell ref="G653:G655"/>
    <mergeCell ref="G577:G579"/>
    <mergeCell ref="G580:G581"/>
    <mergeCell ref="G601:G602"/>
    <mergeCell ref="B129:C129"/>
    <mergeCell ref="B130:C130"/>
    <mergeCell ref="B134:C134"/>
    <mergeCell ref="A762:A764"/>
    <mergeCell ref="B762:C764"/>
    <mergeCell ref="D762:D764"/>
    <mergeCell ref="E762:E764"/>
    <mergeCell ref="F762:F764"/>
    <mergeCell ref="E462:E464"/>
    <mergeCell ref="F462:F464"/>
    <mergeCell ref="E239:E241"/>
    <mergeCell ref="F239:F241"/>
    <mergeCell ref="D413:D415"/>
    <mergeCell ref="D390:D391"/>
    <mergeCell ref="F298:F299"/>
    <mergeCell ref="F271:F273"/>
    <mergeCell ref="A515:A517"/>
    <mergeCell ref="B515:C517"/>
    <mergeCell ref="D515:D517"/>
    <mergeCell ref="E515:E517"/>
    <mergeCell ref="F515:F517"/>
    <mergeCell ref="A537:A539"/>
    <mergeCell ref="B537:C539"/>
    <mergeCell ref="D537:D539"/>
    <mergeCell ref="B132:C132"/>
    <mergeCell ref="G693:G694"/>
    <mergeCell ref="E348:E350"/>
    <mergeCell ref="F348:F350"/>
    <mergeCell ref="E540:E541"/>
    <mergeCell ref="F540:F541"/>
    <mergeCell ref="G540:G541"/>
    <mergeCell ref="E496:E497"/>
    <mergeCell ref="F496:F497"/>
    <mergeCell ref="G496:G497"/>
    <mergeCell ref="G348:G350"/>
    <mergeCell ref="E387:E389"/>
    <mergeCell ref="F387:F389"/>
    <mergeCell ref="G387:G389"/>
    <mergeCell ref="G462:G464"/>
    <mergeCell ref="G351:G352"/>
    <mergeCell ref="E493:E495"/>
    <mergeCell ref="F493:F495"/>
    <mergeCell ref="G438:G439"/>
    <mergeCell ref="E435:E437"/>
    <mergeCell ref="E537:E539"/>
    <mergeCell ref="F537:F539"/>
    <mergeCell ref="E518:E519"/>
    <mergeCell ref="G515:G517"/>
    <mergeCell ref="B135:C135"/>
    <mergeCell ref="B136:C136"/>
    <mergeCell ref="B137:C137"/>
    <mergeCell ref="B90:C90"/>
    <mergeCell ref="B91:C91"/>
    <mergeCell ref="B92:C92"/>
    <mergeCell ref="B93:C93"/>
    <mergeCell ref="B94:C94"/>
    <mergeCell ref="B95:C95"/>
    <mergeCell ref="B97:C97"/>
    <mergeCell ref="B98:C98"/>
    <mergeCell ref="B116:C116"/>
    <mergeCell ref="B112:C112"/>
    <mergeCell ref="B96:C96"/>
    <mergeCell ref="B110:C110"/>
    <mergeCell ref="B115:C115"/>
    <mergeCell ref="B126:C126"/>
    <mergeCell ref="B127:C127"/>
    <mergeCell ref="B117:C117"/>
    <mergeCell ref="B131:C131"/>
    <mergeCell ref="B118:C118"/>
    <mergeCell ref="B119:C119"/>
    <mergeCell ref="B120:C120"/>
    <mergeCell ref="B128:C128"/>
    <mergeCell ref="B84:G84"/>
    <mergeCell ref="B85:C85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F577:F579"/>
    <mergeCell ref="A598:A600"/>
    <mergeCell ref="D601:D602"/>
    <mergeCell ref="D630:D632"/>
    <mergeCell ref="F580:F581"/>
    <mergeCell ref="E601:E602"/>
    <mergeCell ref="F601:F602"/>
    <mergeCell ref="E633:E634"/>
    <mergeCell ref="F633:F634"/>
    <mergeCell ref="B42:C42"/>
    <mergeCell ref="B45:C45"/>
    <mergeCell ref="B86:C86"/>
    <mergeCell ref="B87:C87"/>
    <mergeCell ref="B88:C88"/>
    <mergeCell ref="B89:C89"/>
    <mergeCell ref="B53:C53"/>
    <mergeCell ref="D493:D495"/>
    <mergeCell ref="D387:D389"/>
    <mergeCell ref="B54:C54"/>
    <mergeCell ref="B55:C55"/>
    <mergeCell ref="B56:C56"/>
    <mergeCell ref="B57:C57"/>
    <mergeCell ref="B58:C58"/>
    <mergeCell ref="B59:C59"/>
    <mergeCell ref="B60:C60"/>
    <mergeCell ref="B61:C61"/>
    <mergeCell ref="B83:G83"/>
    <mergeCell ref="B73:C73"/>
    <mergeCell ref="B74:C74"/>
    <mergeCell ref="B75:C75"/>
    <mergeCell ref="B76:C76"/>
    <mergeCell ref="B77:C77"/>
    <mergeCell ref="B133:C133"/>
    <mergeCell ref="M209:Q209"/>
    <mergeCell ref="B41:C41"/>
    <mergeCell ref="B43:C43"/>
    <mergeCell ref="B44:C44"/>
    <mergeCell ref="B46:C46"/>
    <mergeCell ref="B49:C49"/>
    <mergeCell ref="B50:C50"/>
    <mergeCell ref="B51:C51"/>
    <mergeCell ref="B52:C52"/>
    <mergeCell ref="B78:C78"/>
    <mergeCell ref="B82:G82"/>
    <mergeCell ref="B99:C99"/>
    <mergeCell ref="B100:C100"/>
    <mergeCell ref="B101:C101"/>
    <mergeCell ref="B102:C102"/>
    <mergeCell ref="B103:C103"/>
    <mergeCell ref="B105:C105"/>
    <mergeCell ref="B106:C106"/>
    <mergeCell ref="B107:C107"/>
    <mergeCell ref="B108:C108"/>
    <mergeCell ref="B109:C109"/>
    <mergeCell ref="B111:C111"/>
    <mergeCell ref="B113:C113"/>
    <mergeCell ref="B114:C114"/>
    <mergeCell ref="B37:C37"/>
    <mergeCell ref="B38:C38"/>
    <mergeCell ref="B39:C39"/>
    <mergeCell ref="B40:C40"/>
    <mergeCell ref="B12:C12"/>
    <mergeCell ref="B13:C13"/>
    <mergeCell ref="B14:C14"/>
    <mergeCell ref="B15:C15"/>
    <mergeCell ref="B16:C16"/>
    <mergeCell ref="B17:C17"/>
    <mergeCell ref="B18:C18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:E3"/>
    <mergeCell ref="B4:C4"/>
    <mergeCell ref="B5:C5"/>
    <mergeCell ref="B6:C6"/>
    <mergeCell ref="B7:C7"/>
    <mergeCell ref="B8:C8"/>
    <mergeCell ref="B9:C9"/>
    <mergeCell ref="B10:C10"/>
    <mergeCell ref="B11:C11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7:C147"/>
    <mergeCell ref="B151:C151"/>
    <mergeCell ref="B152:C152"/>
    <mergeCell ref="B153:C153"/>
    <mergeCell ref="B146:C146"/>
    <mergeCell ref="B150:C150"/>
    <mergeCell ref="B154:C154"/>
    <mergeCell ref="B155:C155"/>
    <mergeCell ref="B156:C156"/>
    <mergeCell ref="B157:C157"/>
    <mergeCell ref="B162:C162"/>
    <mergeCell ref="B163:C163"/>
    <mergeCell ref="B164:C164"/>
    <mergeCell ref="B172:C172"/>
    <mergeCell ref="E351:E352"/>
    <mergeCell ref="F351:F352"/>
    <mergeCell ref="B175:C175"/>
    <mergeCell ref="B176:C176"/>
    <mergeCell ref="B177:C177"/>
    <mergeCell ref="B178:C178"/>
    <mergeCell ref="E203:E205"/>
    <mergeCell ref="F203:F205"/>
    <mergeCell ref="D274:D275"/>
    <mergeCell ref="E274:E275"/>
    <mergeCell ref="F274:F275"/>
    <mergeCell ref="D295:D297"/>
    <mergeCell ref="E295:E297"/>
    <mergeCell ref="F295:F297"/>
    <mergeCell ref="D298:D299"/>
    <mergeCell ref="B348:C350"/>
    <mergeCell ref="D348:D350"/>
    <mergeCell ref="E298:E299"/>
    <mergeCell ref="A690:A692"/>
    <mergeCell ref="B690:C692"/>
    <mergeCell ref="E271:E273"/>
    <mergeCell ref="D351:D352"/>
    <mergeCell ref="B236:C238"/>
    <mergeCell ref="D239:D241"/>
    <mergeCell ref="D271:D273"/>
    <mergeCell ref="A462:A464"/>
    <mergeCell ref="B462:C464"/>
    <mergeCell ref="A630:A632"/>
    <mergeCell ref="A435:A437"/>
    <mergeCell ref="B435:C437"/>
    <mergeCell ref="A493:A495"/>
    <mergeCell ref="A348:A350"/>
    <mergeCell ref="A413:A415"/>
    <mergeCell ref="B413:C415"/>
    <mergeCell ref="B577:C579"/>
    <mergeCell ref="B493:C495"/>
    <mergeCell ref="E465:E466"/>
    <mergeCell ref="A236:A238"/>
    <mergeCell ref="A271:A273"/>
    <mergeCell ref="B271:C273"/>
    <mergeCell ref="D633:D634"/>
    <mergeCell ref="E577:E579"/>
    <mergeCell ref="D435:D437"/>
    <mergeCell ref="D577:D579"/>
    <mergeCell ref="D693:D694"/>
    <mergeCell ref="E693:E694"/>
    <mergeCell ref="F693:F694"/>
    <mergeCell ref="D690:D692"/>
    <mergeCell ref="E236:E238"/>
    <mergeCell ref="F236:F238"/>
    <mergeCell ref="G493:G495"/>
    <mergeCell ref="F465:F466"/>
    <mergeCell ref="G465:G466"/>
    <mergeCell ref="D598:D600"/>
    <mergeCell ref="E598:E600"/>
    <mergeCell ref="E630:E632"/>
    <mergeCell ref="F630:F632"/>
    <mergeCell ref="G630:G632"/>
    <mergeCell ref="F598:F600"/>
    <mergeCell ref="G598:G600"/>
    <mergeCell ref="E690:E692"/>
    <mergeCell ref="G274:G275"/>
    <mergeCell ref="F390:F391"/>
    <mergeCell ref="G239:G241"/>
    <mergeCell ref="F435:F437"/>
    <mergeCell ref="D462:D464"/>
    <mergeCell ref="B47:C47"/>
    <mergeCell ref="B48:C48"/>
    <mergeCell ref="B179:C179"/>
    <mergeCell ref="B181:C181"/>
    <mergeCell ref="G295:G297"/>
    <mergeCell ref="E390:E391"/>
    <mergeCell ref="B165:C165"/>
    <mergeCell ref="B166:C166"/>
    <mergeCell ref="B167:C167"/>
    <mergeCell ref="B168:C168"/>
    <mergeCell ref="B173:G173"/>
    <mergeCell ref="B174:C174"/>
    <mergeCell ref="B169:C169"/>
    <mergeCell ref="B170:C170"/>
    <mergeCell ref="G390:G391"/>
    <mergeCell ref="G203:G205"/>
    <mergeCell ref="E206:E207"/>
    <mergeCell ref="F206:F207"/>
    <mergeCell ref="G206:G207"/>
    <mergeCell ref="G236:G238"/>
    <mergeCell ref="B180:C180"/>
    <mergeCell ref="C197:E197"/>
    <mergeCell ref="B158:C158"/>
    <mergeCell ref="B161:C161"/>
    <mergeCell ref="A387:A389"/>
    <mergeCell ref="B387:C389"/>
    <mergeCell ref="C200:E200"/>
    <mergeCell ref="A203:A205"/>
    <mergeCell ref="B182:C182"/>
    <mergeCell ref="B183:C183"/>
    <mergeCell ref="B184:C184"/>
    <mergeCell ref="B185:C185"/>
    <mergeCell ref="B186:C186"/>
    <mergeCell ref="B187:C187"/>
    <mergeCell ref="D236:D238"/>
    <mergeCell ref="D206:D207"/>
    <mergeCell ref="B203:C205"/>
    <mergeCell ref="A295:A297"/>
    <mergeCell ref="B295:C297"/>
    <mergeCell ref="D203:D205"/>
  </mergeCells>
  <pageMargins left="0.23622047244094491" right="0.23622047244094491" top="0.74803149606299213" bottom="0.74803149606299213" header="0.31496062992125984" footer="0.31496062992125984"/>
  <pageSetup scale="8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korisnik</cp:lastModifiedBy>
  <cp:lastPrinted>2025-06-20T09:18:53Z</cp:lastPrinted>
  <dcterms:created xsi:type="dcterms:W3CDTF">2018-05-25T07:23:59Z</dcterms:created>
  <dcterms:modified xsi:type="dcterms:W3CDTF">2025-06-20T09:21:34Z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01EB4A6A931FC7BF4C408A955D6593690EB1F48BE03DF2937FA41A2FD7D9FAA1A534D4D31125D54E705C63804222068C749BE0E3364B44A1BE2E03609AF559748A68582E37886D7C68C5A47EFFE3854BFADB66D5526A6857D44E4A46F116BB3B6EE6A0E796373EEC497EA56EAC892A9B9A440B1582EEA85B53E8E5627A0AF18</vt:lpwstr>
  </property>
  <property fmtid="{D5CDD505-2E9C-101B-9397-08002B2CF9AE}" pid="3" name="Business Objects Context Information1">
    <vt:lpwstr>A2008E3E40EB343879B063C4566D28211DF739BCECE02695913171FFFE08DC1562176F07457ED6E29EBDE2DE45D187C6CF480BFDD24F01A7FBBFC6C01E22502B85AE6B8DB8DED63750B153FB35BFCAFC4BAA672FACC97EAE2EB75A5C26E735BC428E7FFD4FDCA3C140A56585A73BAE441671FBD0FBC8E13D9C5EB8E1D2FEECA</vt:lpwstr>
  </property>
  <property fmtid="{D5CDD505-2E9C-101B-9397-08002B2CF9AE}" pid="4" name="Business Objects Context Information2">
    <vt:lpwstr>047EEA82A1B8070658C9666B75190E3AB68AC9248732EFCBE883E28285E65AF7CA84247205417B1765B022A1FD7C64696F25F88A52A9B2BAA65CAEE91D8CCA0B851BF5EC15BAF9C6284342CD133FEE870D3A095BE2F55A69EF64A98B015CC3154D4CF1CE53B50A542BC741F85798E62ABCB001E47E04218DF5731C4B5E52FC0</vt:lpwstr>
  </property>
  <property fmtid="{D5CDD505-2E9C-101B-9397-08002B2CF9AE}" pid="5" name="Business Objects Context Information3">
    <vt:lpwstr>3977408FCA5F76E55F036FF5E1373A4142CE309A12C24C9E9CDBA7AE3E7E53CB4C4C7EDDA5CD4902DA9D3F37EE5209836397D0D2D69F09DE2C7D6F531A452DCF5EDAE4D3DCA24643762B7E35C4416099C828E5D4C3B1B430A9426FA56C1A88A2DC82A750DE04911368D69326FB00249AD5A807CE6DA4E3BA091B57064F3DA4E</vt:lpwstr>
  </property>
  <property fmtid="{D5CDD505-2E9C-101B-9397-08002B2CF9AE}" pid="6" name="Business Objects Context Information4">
    <vt:lpwstr>04CB16986F06E58B550AE37870E3A5481B36D5BC9C20D078EC872C4CEEFE6616D4A970FCBCD66766EC291D296AD2B1331987331513F0654E3296473666A36493B52087CF3189E71BE3274566E22A2F33690153B2A935B56F30AC6F62383C21E307A8E1DA6524E3FA01EBAFE8B9FD84CB1E44D0315E3752FB2C1E01DB492D0E4</vt:lpwstr>
  </property>
  <property fmtid="{D5CDD505-2E9C-101B-9397-08002B2CF9AE}" pid="7" name="Business Objects Context Information5">
    <vt:lpwstr>D236541EDC01D98E3D0B68EDB4CAD5D941BE4AB1C176ED2897BA598C027B803D86D85D93544CD082433712C74203742364FB2189B5DAD73D675655D4C7F329EC2C86ADB1EE86E8954E65F2B63CF43E6527FFF23315FEDDDD6147627E7B56BDE4F513441AE68FD2A46F573E312754F5D713607B30B1480DDA6A2C73083D54907</vt:lpwstr>
  </property>
  <property fmtid="{D5CDD505-2E9C-101B-9397-08002B2CF9AE}" pid="8" name="Business Objects Context Information6">
    <vt:lpwstr>A06E285E0B3C9FAA956C27F8E7D927E34A7857F2208AEA87A9FA41396BF28679E0922D12E16B14381D13156E433366956BF913B4888751E4E6393C087E15E6B7621D035AEF3E779885F307F3BE0A6E6A703C2FFD03296F221FC2EC5D675A99A997FC353352214092A79E049E53EF26FC5D7AB34F955AB13C697AC6B7E3D21DD</vt:lpwstr>
  </property>
  <property fmtid="{D5CDD505-2E9C-101B-9397-08002B2CF9AE}" pid="9" name="Business Objects Context Information7">
    <vt:lpwstr>9F39DAD6E</vt:lpwstr>
  </property>
</Properties>
</file>