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defaultThemeVersion="124226"/>
  <bookViews>
    <workbookView xWindow="-120" yWindow="-120" windowWidth="20730" windowHeight="11160"/>
  </bookViews>
  <sheets>
    <sheet name="POP" sheetId="1" r:id="rId1"/>
    <sheet name="PIR" sheetId="2" r:id="rId2"/>
    <sheet name="Neizmirene obaveze" sheetId="3" r:id="rId3"/>
    <sheet name="Zaduženja" sheetId="4" r:id="rId4"/>
    <sheet name="Broj zaposlenih" sheetId="5" r:id="rId5"/>
  </sheets>
  <calcPr calcId="181029"/>
</workbook>
</file>

<file path=xl/calcChain.xml><?xml version="1.0" encoding="utf-8"?>
<calcChain xmlns="http://schemas.openxmlformats.org/spreadsheetml/2006/main">
  <c r="D99" i="2" l="1"/>
  <c r="E99" i="2"/>
  <c r="D50" i="2"/>
  <c r="D33" i="2"/>
  <c r="E33" i="2"/>
  <c r="E35" i="1"/>
  <c r="C152" i="2"/>
  <c r="C150" i="2"/>
  <c r="E97" i="2"/>
  <c r="D9" i="2"/>
  <c r="D35" i="1"/>
  <c r="C53" i="2"/>
  <c r="C32" i="2"/>
  <c r="C97" i="2"/>
  <c r="C74" i="2"/>
  <c r="C64" i="2"/>
  <c r="C70" i="2"/>
  <c r="C38" i="2"/>
  <c r="C52" i="2"/>
  <c r="C44" i="2"/>
  <c r="C33" i="2"/>
  <c r="C36" i="2"/>
  <c r="C25" i="2"/>
  <c r="E15" i="4"/>
  <c r="F15" i="4"/>
  <c r="C148" i="2" l="1"/>
  <c r="C159" i="2"/>
  <c r="C156" i="2"/>
  <c r="C146" i="2"/>
  <c r="C145" i="2"/>
  <c r="C144" i="2"/>
  <c r="C161" i="2" l="1"/>
  <c r="C151" i="2"/>
  <c r="F22" i="3"/>
  <c r="F21" i="3"/>
  <c r="E22" i="3"/>
  <c r="E21" i="3"/>
  <c r="I7" i="4"/>
  <c r="E7" i="4"/>
  <c r="C20" i="5"/>
  <c r="C160" i="2"/>
  <c r="C153" i="2"/>
  <c r="C149" i="2"/>
  <c r="C143" i="2"/>
  <c r="C142" i="2"/>
  <c r="F100" i="2"/>
  <c r="F99" i="2"/>
  <c r="D98" i="2"/>
  <c r="E98" i="2"/>
  <c r="F98" i="2" s="1"/>
  <c r="C98" i="2"/>
  <c r="F97" i="2"/>
  <c r="E96" i="2"/>
  <c r="D96" i="2"/>
  <c r="C96" i="2"/>
  <c r="C89" i="2" s="1"/>
  <c r="F91" i="2"/>
  <c r="E90" i="2"/>
  <c r="D90" i="2"/>
  <c r="C90" i="2"/>
  <c r="F83" i="2"/>
  <c r="F82" i="2"/>
  <c r="F81" i="2"/>
  <c r="F79" i="2"/>
  <c r="F78" i="2"/>
  <c r="E76" i="2"/>
  <c r="D76" i="2"/>
  <c r="D75" i="2" s="1"/>
  <c r="C76" i="2"/>
  <c r="C75" i="2" s="1"/>
  <c r="F74" i="2"/>
  <c r="E71" i="2"/>
  <c r="D71" i="2"/>
  <c r="D60" i="2" s="1"/>
  <c r="C71" i="2"/>
  <c r="F70" i="2"/>
  <c r="F69" i="2"/>
  <c r="F68" i="2"/>
  <c r="F67" i="2"/>
  <c r="F66" i="2"/>
  <c r="F65" i="2"/>
  <c r="F64" i="2"/>
  <c r="F63" i="2"/>
  <c r="E61" i="2"/>
  <c r="D61" i="2"/>
  <c r="C61" i="2"/>
  <c r="C60" i="2" s="1"/>
  <c r="F59" i="2"/>
  <c r="F58" i="2"/>
  <c r="F56" i="2"/>
  <c r="F55" i="2"/>
  <c r="F54" i="2"/>
  <c r="F53" i="2"/>
  <c r="F52" i="2"/>
  <c r="E51" i="2"/>
  <c r="D51" i="2"/>
  <c r="C51" i="2"/>
  <c r="F50" i="2"/>
  <c r="F47" i="2"/>
  <c r="E46" i="2"/>
  <c r="D46" i="2"/>
  <c r="C46" i="2"/>
  <c r="F44" i="2"/>
  <c r="E43" i="2"/>
  <c r="D43" i="2"/>
  <c r="C43" i="2"/>
  <c r="E39" i="2"/>
  <c r="D39" i="2"/>
  <c r="C39" i="2"/>
  <c r="F38" i="2"/>
  <c r="F36" i="2"/>
  <c r="F33" i="2"/>
  <c r="F32" i="2"/>
  <c r="F31" i="2"/>
  <c r="F30" i="2"/>
  <c r="E29" i="2"/>
  <c r="D29" i="2"/>
  <c r="C29" i="2"/>
  <c r="F28" i="2"/>
  <c r="F27" i="2"/>
  <c r="F26" i="2"/>
  <c r="F25" i="2"/>
  <c r="F23" i="2"/>
  <c r="E22" i="2"/>
  <c r="D22" i="2"/>
  <c r="C22" i="2"/>
  <c r="F21" i="2"/>
  <c r="F20" i="2"/>
  <c r="E14" i="2"/>
  <c r="D14" i="2"/>
  <c r="C14" i="2"/>
  <c r="F13" i="2"/>
  <c r="F12" i="2"/>
  <c r="F11" i="2"/>
  <c r="F10" i="2"/>
  <c r="F9" i="2"/>
  <c r="E8" i="2"/>
  <c r="D8" i="2"/>
  <c r="C8" i="2"/>
  <c r="E54" i="1"/>
  <c r="D54" i="1"/>
  <c r="C54" i="1"/>
  <c r="C53" i="1" s="1"/>
  <c r="E52" i="1"/>
  <c r="D52" i="1"/>
  <c r="F51" i="1"/>
  <c r="F50" i="1"/>
  <c r="F49" i="1"/>
  <c r="F48" i="1"/>
  <c r="E48" i="1"/>
  <c r="D48" i="1"/>
  <c r="C48" i="1"/>
  <c r="F47" i="1"/>
  <c r="F46" i="1"/>
  <c r="E45" i="1"/>
  <c r="F45" i="1" s="1"/>
  <c r="D45" i="1"/>
  <c r="C45" i="1"/>
  <c r="E44" i="1"/>
  <c r="F44" i="1" s="1"/>
  <c r="D44" i="1"/>
  <c r="C44" i="1"/>
  <c r="F43" i="1"/>
  <c r="F42" i="1"/>
  <c r="E41" i="1"/>
  <c r="D41" i="1"/>
  <c r="C41" i="1"/>
  <c r="F39" i="1"/>
  <c r="E38" i="1"/>
  <c r="D38" i="1"/>
  <c r="C38" i="1"/>
  <c r="E37" i="1"/>
  <c r="D37" i="1"/>
  <c r="C37" i="1"/>
  <c r="F36" i="1"/>
  <c r="F35" i="1"/>
  <c r="F34" i="1"/>
  <c r="F33" i="1"/>
  <c r="E32" i="1"/>
  <c r="D32" i="1"/>
  <c r="C32" i="1"/>
  <c r="F31" i="1"/>
  <c r="F30" i="1"/>
  <c r="F27" i="1"/>
  <c r="F25" i="1"/>
  <c r="F24" i="1"/>
  <c r="F23" i="1"/>
  <c r="E22" i="1"/>
  <c r="D22" i="1"/>
  <c r="C22" i="1"/>
  <c r="C16" i="1" s="1"/>
  <c r="C6" i="1" s="1"/>
  <c r="F20" i="1"/>
  <c r="F19" i="1"/>
  <c r="F18" i="1"/>
  <c r="F17" i="1"/>
  <c r="E17" i="1"/>
  <c r="D17" i="1"/>
  <c r="F14" i="1"/>
  <c r="F13" i="1"/>
  <c r="E12" i="1"/>
  <c r="F12" i="1" s="1"/>
  <c r="D12" i="1"/>
  <c r="C12" i="1"/>
  <c r="F11" i="1"/>
  <c r="F10" i="1"/>
  <c r="F9" i="1"/>
  <c r="F8" i="1"/>
  <c r="E7" i="1"/>
  <c r="D7" i="1"/>
  <c r="C7" i="1"/>
  <c r="F96" i="2" l="1"/>
  <c r="F22" i="2"/>
  <c r="C7" i="2"/>
  <c r="C6" i="2" s="1"/>
  <c r="C102" i="2" s="1"/>
  <c r="F39" i="2"/>
  <c r="F51" i="2"/>
  <c r="F61" i="2"/>
  <c r="F76" i="2"/>
  <c r="F90" i="2"/>
  <c r="F8" i="2"/>
  <c r="F14" i="2"/>
  <c r="F43" i="2"/>
  <c r="F46" i="2"/>
  <c r="F71" i="2"/>
  <c r="E89" i="2"/>
  <c r="F89" i="2" s="1"/>
  <c r="F29" i="2"/>
  <c r="F53" i="1"/>
  <c r="C52" i="1"/>
  <c r="C58" i="1" s="1"/>
  <c r="F22" i="1"/>
  <c r="F7" i="1"/>
  <c r="F32" i="1"/>
  <c r="F38" i="1"/>
  <c r="F41" i="1"/>
  <c r="F52" i="1"/>
  <c r="F54" i="1"/>
  <c r="F37" i="1"/>
  <c r="D16" i="1"/>
  <c r="E16" i="1"/>
  <c r="F16" i="1" s="1"/>
  <c r="D89" i="2"/>
  <c r="D7" i="2"/>
  <c r="E75" i="2"/>
  <c r="F75" i="2" s="1"/>
  <c r="E60" i="2"/>
  <c r="F60" i="2" s="1"/>
  <c r="E7" i="2"/>
  <c r="C164" i="2"/>
  <c r="D6" i="2" l="1"/>
  <c r="D102" i="2" s="1"/>
  <c r="D6" i="1"/>
  <c r="D58" i="1" s="1"/>
  <c r="E6" i="1"/>
  <c r="F6" i="1" s="1"/>
  <c r="F7" i="2"/>
  <c r="E6" i="2"/>
  <c r="F24" i="3"/>
  <c r="E58" i="1" l="1"/>
  <c r="F6" i="2"/>
  <c r="E102" i="2"/>
  <c r="F17" i="4"/>
  <c r="F58" i="1" l="1"/>
  <c r="F102" i="2"/>
  <c r="D4" i="3"/>
  <c r="D17" i="3" s="1"/>
  <c r="H7" i="4" l="1"/>
  <c r="G7" i="4" l="1"/>
  <c r="F4" i="3"/>
  <c r="F17" i="3" s="1"/>
  <c r="J17" i="4" l="1"/>
  <c r="I17" i="4"/>
  <c r="H17" i="4"/>
  <c r="G17" i="4"/>
  <c r="E17" i="4"/>
  <c r="D17" i="4"/>
  <c r="C17" i="4"/>
  <c r="J10" i="4"/>
  <c r="I10" i="4"/>
  <c r="H10" i="4"/>
  <c r="G10" i="4"/>
  <c r="F10" i="4"/>
  <c r="E10" i="4"/>
  <c r="D10" i="4"/>
  <c r="C10" i="4"/>
  <c r="J9" i="4"/>
  <c r="I9" i="4"/>
  <c r="H9" i="4"/>
  <c r="G9" i="4"/>
  <c r="F9" i="4"/>
  <c r="E9" i="4"/>
  <c r="D9" i="4"/>
  <c r="C9" i="4"/>
  <c r="J5" i="4"/>
  <c r="J4" i="4" s="1"/>
  <c r="J14" i="4" s="1"/>
  <c r="I5" i="4"/>
  <c r="H5" i="4"/>
  <c r="G5" i="4"/>
  <c r="G4" i="4" s="1"/>
  <c r="G14" i="4" s="1"/>
  <c r="E5" i="4"/>
  <c r="E4" i="4" s="1"/>
  <c r="D5" i="4"/>
  <c r="C5" i="4"/>
  <c r="C4" i="4" s="1"/>
  <c r="I4" i="4"/>
  <c r="I14" i="4" s="1"/>
  <c r="H4" i="4"/>
  <c r="H14" i="4" s="1"/>
  <c r="D4" i="4"/>
  <c r="D14" i="4" s="1"/>
  <c r="E24" i="3"/>
  <c r="D24" i="3"/>
  <c r="G22" i="3"/>
  <c r="G21" i="3"/>
  <c r="F11" i="3"/>
  <c r="D11" i="3"/>
  <c r="C14" i="4" l="1"/>
  <c r="F5" i="4"/>
  <c r="F4" i="4" s="1"/>
  <c r="F14" i="4" s="1"/>
  <c r="E14" i="4"/>
  <c r="G24" i="3"/>
</calcChain>
</file>

<file path=xl/comments1.xml><?xml version="1.0" encoding="utf-8"?>
<comments xmlns="http://schemas.openxmlformats.org/spreadsheetml/2006/main">
  <authors>
    <author>korisnik</author>
  </authors>
  <commentList>
    <comment ref="H7" authorId="0">
      <text>
        <r>
          <rPr>
            <b/>
            <sz val="9"/>
            <color indexed="81"/>
            <rFont val="Tahoma"/>
            <family val="2"/>
          </rPr>
          <t>korisnik:</t>
        </r>
        <r>
          <rPr>
            <sz val="9"/>
            <color indexed="81"/>
            <rFont val="Tahoma"/>
            <family val="2"/>
          </rPr>
          <t xml:space="preserve">
povučeni iznos od 750.000,00 € i 7.717,73 € interkalarna kamata koja je pripisana glavnici kredita
</t>
        </r>
      </text>
    </comment>
  </commentList>
</comments>
</file>

<file path=xl/sharedStrings.xml><?xml version="1.0" encoding="utf-8"?>
<sst xmlns="http://schemas.openxmlformats.org/spreadsheetml/2006/main" count="455" uniqueCount="389">
  <si>
    <t>OBRAZAC POP</t>
  </si>
  <si>
    <t>OPŠTINA BERANE</t>
  </si>
  <si>
    <t>PRIHODI</t>
  </si>
  <si>
    <t>Godišnji plan budžeta</t>
  </si>
  <si>
    <t>% ostvarenja godišnjeg budžeta</t>
  </si>
  <si>
    <t>71</t>
  </si>
  <si>
    <t>Tekući prihodi</t>
  </si>
  <si>
    <t>711</t>
  </si>
  <si>
    <t>Porezi</t>
  </si>
  <si>
    <t>7111</t>
  </si>
  <si>
    <t>Porez na dohodak fizičkih lica</t>
  </si>
  <si>
    <t>71131</t>
  </si>
  <si>
    <t>Porez na nepokretnosti</t>
  </si>
  <si>
    <t>71132</t>
  </si>
  <si>
    <t>Porez na promet nepokretnosti</t>
  </si>
  <si>
    <t>71175</t>
  </si>
  <si>
    <t>Prirez porezu na dohodak fizičkih lica</t>
  </si>
  <si>
    <t>713</t>
  </si>
  <si>
    <t>Takse</t>
  </si>
  <si>
    <t>71312</t>
  </si>
  <si>
    <t>Lokalne administrativne takse</t>
  </si>
  <si>
    <t>7135</t>
  </si>
  <si>
    <t>Lokalne komunalne takse</t>
  </si>
  <si>
    <t>7136</t>
  </si>
  <si>
    <t>Ostale takse</t>
  </si>
  <si>
    <t>714</t>
  </si>
  <si>
    <t>Naknade</t>
  </si>
  <si>
    <t>7141</t>
  </si>
  <si>
    <t>Naknada za korišćenje dobara od opšteg interesa</t>
  </si>
  <si>
    <t>71411</t>
  </si>
  <si>
    <t>Naknada za korišćenje voda</t>
  </si>
  <si>
    <t>71412</t>
  </si>
  <si>
    <t>Naknada za izvađeni materijal iz vodotoka</t>
  </si>
  <si>
    <t>71413</t>
  </si>
  <si>
    <t>Naknada za zaštitu voda od zagađivanja</t>
  </si>
  <si>
    <t>71414</t>
  </si>
  <si>
    <t>Naknada za korišćenje rezultata geoloških istraživanja</t>
  </si>
  <si>
    <t>7142</t>
  </si>
  <si>
    <t>Naknade za korišćenje prirodnih dobara</t>
  </si>
  <si>
    <t>71421</t>
  </si>
  <si>
    <t>Naknada za korišćenje šuma</t>
  </si>
  <si>
    <t>71423</t>
  </si>
  <si>
    <t>Naknada za korišćenje rudnog bogatstva</t>
  </si>
  <si>
    <t>71424</t>
  </si>
  <si>
    <t>Naknada za korišćenje mineralnih sirovina</t>
  </si>
  <si>
    <t>7146</t>
  </si>
  <si>
    <t>Naknada za komunalno opremanje građevinskog zemljišta</t>
  </si>
  <si>
    <t>7147</t>
  </si>
  <si>
    <t>Naknade za izgradnju i održavanje lokalnih puteva</t>
  </si>
  <si>
    <t>7148</t>
  </si>
  <si>
    <t>Naknada za puteve</t>
  </si>
  <si>
    <t>7149</t>
  </si>
  <si>
    <t>Ostale naknade</t>
  </si>
  <si>
    <t>715</t>
  </si>
  <si>
    <t>Ostali prihodi</t>
  </si>
  <si>
    <t>7151</t>
  </si>
  <si>
    <t>Prihodi od kapitala(od kamata, akcija i udjela u dobiti i rente)</t>
  </si>
  <si>
    <t>7152</t>
  </si>
  <si>
    <t>Novčane kazne i oduzete imovinske koristi</t>
  </si>
  <si>
    <t>7153</t>
  </si>
  <si>
    <t>Prihodi koje organi ostvaruju vršenjem svoje djelatnosti</t>
  </si>
  <si>
    <t>7155</t>
  </si>
  <si>
    <t>72</t>
  </si>
  <si>
    <t>Primici od prodaje imovine</t>
  </si>
  <si>
    <t>721</t>
  </si>
  <si>
    <t>Primici od prodaje nefinansijske imovine</t>
  </si>
  <si>
    <t>7211</t>
  </si>
  <si>
    <t>Prodaja nepokretnosti</t>
  </si>
  <si>
    <t>722</t>
  </si>
  <si>
    <t>Primici od prodaje finansijske imovine</t>
  </si>
  <si>
    <t>73</t>
  </si>
  <si>
    <t>Primici od otplate kredita i sredstva prenesena iz prethodne godine</t>
  </si>
  <si>
    <t>731</t>
  </si>
  <si>
    <t>Primici od otplate kredita</t>
  </si>
  <si>
    <t>732</t>
  </si>
  <si>
    <t>Sredstva prenesena iz prethodne godine</t>
  </si>
  <si>
    <t>74</t>
  </si>
  <si>
    <t>Donacije i transferi</t>
  </si>
  <si>
    <t>741</t>
  </si>
  <si>
    <t>Donacije</t>
  </si>
  <si>
    <t>7411</t>
  </si>
  <si>
    <t>Tekuće donacije</t>
  </si>
  <si>
    <t>7412</t>
  </si>
  <si>
    <t>Kapitalne donacije</t>
  </si>
  <si>
    <t>742</t>
  </si>
  <si>
    <t>Transferi</t>
  </si>
  <si>
    <t>7421</t>
  </si>
  <si>
    <t>Transferi od budžeta Države</t>
  </si>
  <si>
    <t>7425</t>
  </si>
  <si>
    <t>Transferi od Zavoda za zapošljavanje Crne Gore</t>
  </si>
  <si>
    <t>7426</t>
  </si>
  <si>
    <t>Transferi od Egalizacionog fonda</t>
  </si>
  <si>
    <t>75</t>
  </si>
  <si>
    <t>Pozajmice i krediti</t>
  </si>
  <si>
    <t>751</t>
  </si>
  <si>
    <t>7511</t>
  </si>
  <si>
    <t>Pozajmice i krediti od domaćih izvora</t>
  </si>
  <si>
    <t>7512</t>
  </si>
  <si>
    <t>Pozajmice i krediti od inostranih izvora</t>
  </si>
  <si>
    <t>7</t>
  </si>
  <si>
    <t>UKUPNI PRIHODI (71 + 72 + 73 + 74 + 75)</t>
  </si>
  <si>
    <t>Naknada za korišćenje luke - nautički turizam</t>
  </si>
  <si>
    <t>71464</t>
  </si>
  <si>
    <t>Naknada za izgradnju javnih garaža</t>
  </si>
  <si>
    <t>75111</t>
  </si>
  <si>
    <t>75112</t>
  </si>
  <si>
    <t>Pozajmice i krediti od domaćih finansijskih institucija</t>
  </si>
  <si>
    <t>Pozajmice i krediti od drugih nivoa vlasti</t>
  </si>
  <si>
    <t>UKUPNO:</t>
  </si>
  <si>
    <t>Otplata dugova</t>
  </si>
  <si>
    <t>Kapitalni izdaci</t>
  </si>
  <si>
    <t>Ostali transferi</t>
  </si>
  <si>
    <t>Transferi institucijama, pojedincima, nevladinom i javnom sektoru</t>
  </si>
  <si>
    <t>Transferi za socijalnu zaštitu</t>
  </si>
  <si>
    <t xml:space="preserve">       Izdaci po osnovu troškova sudskih postupaka</t>
  </si>
  <si>
    <t>Ostali izdaci</t>
  </si>
  <si>
    <t>Subvencije</t>
  </si>
  <si>
    <t>Renta</t>
  </si>
  <si>
    <t>Kamate</t>
  </si>
  <si>
    <t>Rashodi za tekuće održavanje</t>
  </si>
  <si>
    <t>Rashodi za usluge</t>
  </si>
  <si>
    <t>Rashodi za materijal</t>
  </si>
  <si>
    <t>Ostala lična primanja</t>
  </si>
  <si>
    <t xml:space="preserve">    Reprogram Poreskog duga po Protokolu</t>
  </si>
  <si>
    <t xml:space="preserve">    Opštinski prirez</t>
  </si>
  <si>
    <t xml:space="preserve">    Doprinosi na teret poslodavca</t>
  </si>
  <si>
    <t xml:space="preserve">    Doprinosi na teret zaposlenog</t>
  </si>
  <si>
    <t xml:space="preserve">    Porez na zarade</t>
  </si>
  <si>
    <t xml:space="preserve">    Neto zarade</t>
  </si>
  <si>
    <t>Bruto zarade i doprinosi na teret poslodavca</t>
  </si>
  <si>
    <t>Otplata obaveza iz prethodnog perioda - analitika</t>
  </si>
  <si>
    <t>Napomena uz izvještaj: analitički pregled izdatka 463 - Otplata obaveza iz prethodnog perioda</t>
  </si>
  <si>
    <t>UKUPNI RASHODI (I+II+III+IV+V)</t>
  </si>
  <si>
    <t/>
  </si>
  <si>
    <t>Ostale rezerve</t>
  </si>
  <si>
    <t>473</t>
  </si>
  <si>
    <t>Stalna budžetska rezerva</t>
  </si>
  <si>
    <t>472</t>
  </si>
  <si>
    <t>Tekuća budžetska rezerva</t>
  </si>
  <si>
    <t>471</t>
  </si>
  <si>
    <t>Rezerve</t>
  </si>
  <si>
    <t>V</t>
  </si>
  <si>
    <t>Otplata obaveza iz prethodnog perioda</t>
  </si>
  <si>
    <t>463-0</t>
  </si>
  <si>
    <t>463</t>
  </si>
  <si>
    <t>Otplata garancija u inostranstvu</t>
  </si>
  <si>
    <t>462-2</t>
  </si>
  <si>
    <t>Otplata garancija u zemlji</t>
  </si>
  <si>
    <t>462-1</t>
  </si>
  <si>
    <t>Otplata garancija</t>
  </si>
  <si>
    <t>462</t>
  </si>
  <si>
    <t>Otplata hartija od vrijednosti i kredita nerezidentima</t>
  </si>
  <si>
    <t>461-2</t>
  </si>
  <si>
    <t>Otplata hartija od vrijednosti i kredita rezidentima</t>
  </si>
  <si>
    <t>461-1</t>
  </si>
  <si>
    <t>Otplata duga</t>
  </si>
  <si>
    <t>461</t>
  </si>
  <si>
    <t>IV</t>
  </si>
  <si>
    <t>Pozajmice i krediti pojedincima</t>
  </si>
  <si>
    <t>451-3</t>
  </si>
  <si>
    <t>Pozajmice i krediti finansijskim institucijama</t>
  </si>
  <si>
    <t>451-2</t>
  </si>
  <si>
    <t>Pozajmice i krediti nefinansijskim institucijama</t>
  </si>
  <si>
    <t>451-1</t>
  </si>
  <si>
    <t>451</t>
  </si>
  <si>
    <t>III</t>
  </si>
  <si>
    <t>Ostali kapitalni izdaci</t>
  </si>
  <si>
    <t>441-9</t>
  </si>
  <si>
    <t>Investiciono održavanje</t>
  </si>
  <si>
    <t>441-6</t>
  </si>
  <si>
    <t>Izdaci za opremu</t>
  </si>
  <si>
    <t>441-5</t>
  </si>
  <si>
    <t>Izdaci za uređenje zemljišta</t>
  </si>
  <si>
    <t>441-4</t>
  </si>
  <si>
    <t>Izdaci za građevinske objekte</t>
  </si>
  <si>
    <t>441-3</t>
  </si>
  <si>
    <t>Izdaci za lokalnu infrastrukturu</t>
  </si>
  <si>
    <t>441-2</t>
  </si>
  <si>
    <t>Izdaci za infrastrukturu od opšteg značaja</t>
  </si>
  <si>
    <t>441-1</t>
  </si>
  <si>
    <t>441</t>
  </si>
  <si>
    <t>II</t>
  </si>
  <si>
    <t>Transferi javnim preduzećima</t>
  </si>
  <si>
    <t>432-6</t>
  </si>
  <si>
    <t>Transferi budžetu Države</t>
  </si>
  <si>
    <t>432-5</t>
  </si>
  <si>
    <t>Transferi opštinama</t>
  </si>
  <si>
    <t>432-4</t>
  </si>
  <si>
    <t>432</t>
  </si>
  <si>
    <t>Ostali transferi institucijama</t>
  </si>
  <si>
    <t>431-9</t>
  </si>
  <si>
    <t>Ostali transferi pojedincima</t>
  </si>
  <si>
    <t>431-8</t>
  </si>
  <si>
    <t>Transferi za lična primanja pripravnika</t>
  </si>
  <si>
    <t>431-7</t>
  </si>
  <si>
    <t>Transferi za jednokratne socijalne pomoći</t>
  </si>
  <si>
    <t>431-6</t>
  </si>
  <si>
    <t>Transferi političkim partijama , strankama i udruženjima</t>
  </si>
  <si>
    <t>431-5</t>
  </si>
  <si>
    <t>Transferi nevladinim organizacijama</t>
  </si>
  <si>
    <t>431-4</t>
  </si>
  <si>
    <t>Transferi institucijama kulture i sporta</t>
  </si>
  <si>
    <t>431-3</t>
  </si>
  <si>
    <t>Transferi obrazovanju</t>
  </si>
  <si>
    <t>431-2</t>
  </si>
  <si>
    <t>Transferi za zdravstvenu zaštitu</t>
  </si>
  <si>
    <t>431-1</t>
  </si>
  <si>
    <t>431</t>
  </si>
  <si>
    <t>43</t>
  </si>
  <si>
    <t>42</t>
  </si>
  <si>
    <t>Ostalo</t>
  </si>
  <si>
    <t>419-9</t>
  </si>
  <si>
    <t>419-8</t>
  </si>
  <si>
    <t>Komunalne naknade</t>
  </si>
  <si>
    <t>419-6</t>
  </si>
  <si>
    <t>Osiguranje</t>
  </si>
  <si>
    <t>419-4</t>
  </si>
  <si>
    <t>Izrada i održavanje softvera</t>
  </si>
  <si>
    <t>419-3</t>
  </si>
  <si>
    <t>Izdaci po osnovu troškova sudskih postupaka</t>
  </si>
  <si>
    <t>419-2</t>
  </si>
  <si>
    <t>Izdaci po osnovu isplate ugovora o djelu</t>
  </si>
  <si>
    <t>419-1</t>
  </si>
  <si>
    <t>419</t>
  </si>
  <si>
    <t>418</t>
  </si>
  <si>
    <t>Zakup zemljišta</t>
  </si>
  <si>
    <t>417-3</t>
  </si>
  <si>
    <t>Zakup opreme</t>
  </si>
  <si>
    <t>417-2</t>
  </si>
  <si>
    <t>Zakup objekata</t>
  </si>
  <si>
    <t>417-1</t>
  </si>
  <si>
    <t>417</t>
  </si>
  <si>
    <t>Kamate nerezidentima</t>
  </si>
  <si>
    <t>416-2</t>
  </si>
  <si>
    <t>Kamate rezidentima</t>
  </si>
  <si>
    <t>416-1</t>
  </si>
  <si>
    <t>416</t>
  </si>
  <si>
    <t>Tekuće održavanje opreme</t>
  </si>
  <si>
    <t>415-3</t>
  </si>
  <si>
    <t>Tekuće održavanje građevinskih objekata</t>
  </si>
  <si>
    <t>415-2</t>
  </si>
  <si>
    <t>Tekuće održavanje javne infrastrukture</t>
  </si>
  <si>
    <t>415-1</t>
  </si>
  <si>
    <t>415</t>
  </si>
  <si>
    <t>Ostale usluge</t>
  </si>
  <si>
    <t>414-9</t>
  </si>
  <si>
    <t>Usluge stručnog usavršavanja</t>
  </si>
  <si>
    <t>414-8</t>
  </si>
  <si>
    <t>Konsultantske usluge, projekti i studije</t>
  </si>
  <si>
    <t>414-7</t>
  </si>
  <si>
    <t>Advokatske, notarske i pravne usluge</t>
  </si>
  <si>
    <t>414-6</t>
  </si>
  <si>
    <t>Usluge prevoza</t>
  </si>
  <si>
    <t>414-5</t>
  </si>
  <si>
    <t>Bankarske usluge i negativne kursne razlike</t>
  </si>
  <si>
    <t>414-4</t>
  </si>
  <si>
    <t>Komunikacione usluge</t>
  </si>
  <si>
    <t>414-3</t>
  </si>
  <si>
    <t>Reprezentacija</t>
  </si>
  <si>
    <t>414-2</t>
  </si>
  <si>
    <t>Službena putovanja</t>
  </si>
  <si>
    <t>414-1</t>
  </si>
  <si>
    <t>414</t>
  </si>
  <si>
    <t>Ostali rashodi za materijal</t>
  </si>
  <si>
    <t>413-9</t>
  </si>
  <si>
    <t>Rashodi za gorivo</t>
  </si>
  <si>
    <t>413-5</t>
  </si>
  <si>
    <t>Rashodi za energiju</t>
  </si>
  <si>
    <t>413-4</t>
  </si>
  <si>
    <t>Materijal za posebne namjene</t>
  </si>
  <si>
    <t>413-3</t>
  </si>
  <si>
    <t>Materijal za zdravstvenu zaštitu</t>
  </si>
  <si>
    <t>413-2</t>
  </si>
  <si>
    <t>Administrativni materijal</t>
  </si>
  <si>
    <t>413-1</t>
  </si>
  <si>
    <t>413</t>
  </si>
  <si>
    <t>412-7</t>
  </si>
  <si>
    <t>Naknada skupštinskim poslanicima</t>
  </si>
  <si>
    <t>412-6</t>
  </si>
  <si>
    <t>Otpremnine</t>
  </si>
  <si>
    <t>412-5</t>
  </si>
  <si>
    <t>Jubilarne nagrade</t>
  </si>
  <si>
    <t>412-4</t>
  </si>
  <si>
    <t>Naknada za prevoz</t>
  </si>
  <si>
    <t>412-3</t>
  </si>
  <si>
    <t>Naknada za stanovanje i odvojeni život</t>
  </si>
  <si>
    <t>412-2</t>
  </si>
  <si>
    <t>Naknada za zimnicu</t>
  </si>
  <si>
    <t>412-1</t>
  </si>
  <si>
    <t>412</t>
  </si>
  <si>
    <t>Opštinski prirez</t>
  </si>
  <si>
    <t>411-5</t>
  </si>
  <si>
    <t>Doprinosi na teret poslodavca</t>
  </si>
  <si>
    <t>411-4</t>
  </si>
  <si>
    <t>Doprinosi na teret zaposlenog</t>
  </si>
  <si>
    <t>411-3</t>
  </si>
  <si>
    <t>Porez na zarade</t>
  </si>
  <si>
    <t>411-2</t>
  </si>
  <si>
    <t>Neto zarade</t>
  </si>
  <si>
    <t>411-1</t>
  </si>
  <si>
    <t>411</t>
  </si>
  <si>
    <t>Tekući izdaci</t>
  </si>
  <si>
    <t>41</t>
  </si>
  <si>
    <t>I</t>
  </si>
  <si>
    <t>% izvršenja godišnjeg budžeta</t>
  </si>
  <si>
    <t>Vrsta rashoda</t>
  </si>
  <si>
    <t>Redni broj</t>
  </si>
  <si>
    <t>OBRAZAC PIR</t>
  </si>
  <si>
    <t>OBRAZAC NEO</t>
  </si>
  <si>
    <t>Vrsta neizmirene obaveze</t>
  </si>
  <si>
    <t xml:space="preserve">Obaveze za tekuće rashode </t>
  </si>
  <si>
    <t>Obaveze za bruto zarade i doprinose na teret poslodavca</t>
  </si>
  <si>
    <t>Obaveze za ostala lična primanja</t>
  </si>
  <si>
    <t>Obaveze za ostale tekuće rashode</t>
  </si>
  <si>
    <t>Obaveze po transferima za socijalnu zaštitu</t>
  </si>
  <si>
    <t>Obaveze za transfere institucijama,pojedincima,NVO</t>
  </si>
  <si>
    <t>Obaveze za kapitalne izdatke</t>
  </si>
  <si>
    <t>Obaveze po pozajmicama i kreditima</t>
  </si>
  <si>
    <t>a)</t>
  </si>
  <si>
    <t>glavnica</t>
  </si>
  <si>
    <t>b)</t>
  </si>
  <si>
    <t>kamata</t>
  </si>
  <si>
    <t>VI</t>
  </si>
  <si>
    <t>Obaveze po osnovu otplate dugova</t>
  </si>
  <si>
    <t>VII</t>
  </si>
  <si>
    <t>Obaveze po osnovu reprogramiranog poreskog duga</t>
  </si>
  <si>
    <t>VIII</t>
  </si>
  <si>
    <t>Obaveze iz rezervi</t>
  </si>
  <si>
    <t>UKUPNE NEIZMIRENE OBAVEZE ( I+II+III+IV+V+VI+VII)</t>
  </si>
  <si>
    <t>Reprogramirani poreski dug</t>
  </si>
  <si>
    <t>ukupan iznos reprogramiranog poreskog duga</t>
  </si>
  <si>
    <t xml:space="preserve"> Opština Berane</t>
  </si>
  <si>
    <t>Preduzeća i ustanove čiji je osnivač Opština, za koje Opština vrši uplate po reprogramu</t>
  </si>
  <si>
    <t>mp</t>
  </si>
  <si>
    <t>Potpis ovlašćenog lica</t>
  </si>
  <si>
    <t>OBRAZAC BUZ</t>
  </si>
  <si>
    <t>Vrsta zaduženja</t>
  </si>
  <si>
    <t xml:space="preserve">Ugovoreni iznos sredstava </t>
  </si>
  <si>
    <t xml:space="preserve">Iznos povučenih sredstava </t>
  </si>
  <si>
    <t xml:space="preserve">Iznos otplaćenog duga po glavnici </t>
  </si>
  <si>
    <t xml:space="preserve">Stanje duga </t>
  </si>
  <si>
    <t>Domaći dug</t>
  </si>
  <si>
    <t xml:space="preserve">Krediti </t>
  </si>
  <si>
    <t>a</t>
  </si>
  <si>
    <t>Kratkoročni (glavnica)</t>
  </si>
  <si>
    <t>b</t>
  </si>
  <si>
    <t>Dugoročni (glavnica)</t>
  </si>
  <si>
    <t>Obveznice</t>
  </si>
  <si>
    <t xml:space="preserve"> </t>
  </si>
  <si>
    <t>Inostrani dug</t>
  </si>
  <si>
    <t>Krediti</t>
  </si>
  <si>
    <t xml:space="preserve">     UKUPNO (I+II)</t>
  </si>
  <si>
    <t>Domaće garancije</t>
  </si>
  <si>
    <t>Inostrane garancije</t>
  </si>
  <si>
    <t>UKUPNO IZDATE GARANCIJE (III+IV)</t>
  </si>
  <si>
    <t xml:space="preserve">                                                                                                               </t>
  </si>
  <si>
    <t>Naziv institucije</t>
  </si>
  <si>
    <t>Broj radnika:</t>
  </si>
  <si>
    <t>Opština Berane</t>
  </si>
  <si>
    <t>JU Centar za kulturu</t>
  </si>
  <si>
    <t>JU Polimski muzej</t>
  </si>
  <si>
    <t>DOO Sportski centar</t>
  </si>
  <si>
    <t>DOO Agencija za izgradnju i razvoj Berane</t>
  </si>
  <si>
    <t>Turistička organizacija Berane</t>
  </si>
  <si>
    <t xml:space="preserve">DOO Lokalni javni emiter Radio Berane </t>
  </si>
  <si>
    <t>DOO Benergo</t>
  </si>
  <si>
    <t>DOO Regionalni biznis centar</t>
  </si>
  <si>
    <t>DOO Komunalno Berane</t>
  </si>
  <si>
    <t>DOO Vodovod i kanalizacija Berane</t>
  </si>
  <si>
    <t xml:space="preserve">DOO Parking servis </t>
  </si>
  <si>
    <t>JU Dnevni centar za djecu i omladinu sa smetnjama i teškoćama u razvoju</t>
  </si>
  <si>
    <t>Opštinska organizacija crvenog krsta Berane</t>
  </si>
  <si>
    <t>Broj zaposlenih Opštine Berane, javnih ustanova i preduzeća čiji je osnivač Opština na dan 31.12.2024. godine</t>
  </si>
  <si>
    <t>Iznos zaduženja opštine na kraju IV kvartala 2024. god.</t>
  </si>
  <si>
    <t>Iznos zaduženja javnih preduzeća na kraju IV kvartala 2024. god.</t>
  </si>
  <si>
    <t>Stanje neizmirenih obaveza opštine na 31.12.2024. god.</t>
  </si>
  <si>
    <t>Stanje neizmirenih obaveza javnih preduzeća i ustanova na 31.12.2024. god.</t>
  </si>
  <si>
    <t>dospjeli iznos reprogramiranog poreskog duga na kraju IV kvartala 2024. godine</t>
  </si>
  <si>
    <t>plaćeni iznos reprogramiranog poreskog duga  na kraju IV kvartala 2024. godine</t>
  </si>
  <si>
    <t>dospjeli neplaćeni iznos reprogramiranog porskog duga na kraju IV kvartala 2024. godine</t>
  </si>
  <si>
    <t>Izvršenje u periodu od 01.12. do 31.12.2024. godine</t>
  </si>
  <si>
    <t>Izvršeno u periodu od 01.01. do 31.12. 2024. godine</t>
  </si>
  <si>
    <t>Izvršenje u periodu od 01.01.-31.12.2024. godine</t>
  </si>
  <si>
    <t>Ostvareno u periodu od 01.01. do 31.12.2024. godine</t>
  </si>
  <si>
    <t>Ostvareno u periodu od 01.12. do 31.12.2024. godine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</si>
  <si>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</si>
  <si>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</t>
  </si>
  <si>
    <t xml:space="preserve">                                                                                                                                         </t>
  </si>
  <si>
    <t xml:space="preserve">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</si>
</sst>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\Te\x\t"/>
    <numFmt numFmtId="165" formatCode="#,##0.00\ &quot;€&quot;"/>
    <numFmt numFmtId="166" formatCode="0.000000000000"/>
    <numFmt numFmtId="167" formatCode="0.00000000000"/>
    <numFmt numFmtId="168" formatCode="#,##0.00000"/>
  </numFmts>
  <fonts count="29" x14ac:knownFonts="1">
    <font>
      <sz val="11"/>
      <name val="Calibri"/>
    </font>
    <font>
      <sz val="11"/>
      <color theme="1"/>
      <name val="Calibri"/>
      <family val="2"/>
      <scheme val="minor"/>
    </font>
    <font>
      <sz val="8"/>
      <name val="Cambria"/>
      <family val="1"/>
      <charset val="238"/>
    </font>
    <font>
      <b/>
      <sz val="8"/>
      <name val="Cambria"/>
      <family val="1"/>
    </font>
    <font>
      <sz val="8"/>
      <name val="Cambria"/>
      <family val="1"/>
    </font>
    <font>
      <b/>
      <sz val="9"/>
      <color theme="1"/>
      <name val="Cambria"/>
      <family val="1"/>
    </font>
    <font>
      <b/>
      <sz val="9"/>
      <color indexed="8"/>
      <name val="Cambria"/>
      <family val="1"/>
    </font>
    <font>
      <sz val="9"/>
      <color indexed="8"/>
      <name val="Cambria"/>
      <family val="1"/>
    </font>
    <font>
      <b/>
      <sz val="9"/>
      <name val="Cambria"/>
      <family val="1"/>
    </font>
    <font>
      <b/>
      <sz val="11"/>
      <color theme="1"/>
      <name val="Calibri"/>
      <family val="2"/>
      <scheme val="minor"/>
    </font>
    <font>
      <sz val="11"/>
      <name val="Cambria"/>
      <family val="1"/>
    </font>
    <font>
      <sz val="10"/>
      <color indexed="8"/>
      <name val="Cambria"/>
      <family val="1"/>
    </font>
    <font>
      <sz val="11"/>
      <color theme="1"/>
      <name val="Cambria"/>
      <family val="1"/>
    </font>
    <font>
      <b/>
      <sz val="11"/>
      <color theme="1"/>
      <name val="Cambria"/>
      <family val="1"/>
    </font>
    <font>
      <b/>
      <sz val="12"/>
      <name val="Cambria"/>
      <family val="1"/>
    </font>
    <font>
      <b/>
      <sz val="10"/>
      <name val="Cambria"/>
      <family val="1"/>
    </font>
    <font>
      <sz val="10"/>
      <name val="Cambria"/>
      <family val="1"/>
    </font>
    <font>
      <b/>
      <sz val="10"/>
      <color theme="1"/>
      <name val="Cambria"/>
      <family val="1"/>
    </font>
    <font>
      <sz val="10"/>
      <color theme="1"/>
      <name val="Cambria"/>
      <family val="1"/>
    </font>
    <font>
      <sz val="11"/>
      <color indexed="8"/>
      <name val="Calibri"/>
      <family val="2"/>
    </font>
    <font>
      <b/>
      <sz val="11"/>
      <name val="Cambria"/>
      <family val="1"/>
    </font>
    <font>
      <sz val="9"/>
      <name val="Cambria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indexed="8"/>
      <name val="Arial"/>
      <family val="2"/>
      <charset val="238"/>
    </font>
    <font>
      <sz val="11"/>
      <name val="Calibri"/>
      <family val="2"/>
      <charset val="238"/>
    </font>
    <font>
      <sz val="10"/>
      <color indexed="8"/>
      <name val="Arial"/>
      <family val="2"/>
      <charset val="238"/>
    </font>
    <font>
      <sz val="8"/>
      <name val="Cambria"/>
    </font>
    <font>
      <b/>
      <sz val="8"/>
      <name val="Cambria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4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6">
    <xf numFmtId="0" fontId="0" fillId="0" borderId="0"/>
    <xf numFmtId="0" fontId="1" fillId="0" borderId="0"/>
    <xf numFmtId="0" fontId="19" fillId="0" borderId="0"/>
    <xf numFmtId="0" fontId="24" fillId="0" borderId="0">
      <alignment vertical="top"/>
    </xf>
    <xf numFmtId="0" fontId="25" fillId="0" borderId="0"/>
    <xf numFmtId="0" fontId="26" fillId="0" borderId="0">
      <alignment vertical="top"/>
    </xf>
  </cellStyleXfs>
  <cellXfs count="238">
    <xf numFmtId="0" fontId="0" fillId="0" borderId="0" xfId="0"/>
    <xf numFmtId="0" fontId="2" fillId="0" borderId="0" xfId="0" applyFont="1"/>
    <xf numFmtId="164" fontId="3" fillId="0" borderId="2" xfId="0" applyNumberFormat="1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left" vertical="center" wrapText="1"/>
    </xf>
    <xf numFmtId="164" fontId="3" fillId="0" borderId="9" xfId="0" applyNumberFormat="1" applyFont="1" applyBorder="1" applyAlignment="1">
      <alignment horizontal="left" vertical="center" wrapText="1"/>
    </xf>
    <xf numFmtId="4" fontId="3" fillId="0" borderId="10" xfId="0" applyNumberFormat="1" applyFont="1" applyBorder="1" applyAlignment="1">
      <alignment horizontal="right" vertical="center" wrapText="1"/>
    </xf>
    <xf numFmtId="164" fontId="3" fillId="0" borderId="6" xfId="0" applyNumberFormat="1" applyFont="1" applyBorder="1" applyAlignment="1">
      <alignment horizontal="center" vertical="center" wrapText="1"/>
    </xf>
    <xf numFmtId="0" fontId="4" fillId="0" borderId="0" xfId="0" applyFont="1"/>
    <xf numFmtId="4" fontId="4" fillId="0" borderId="6" xfId="0" applyNumberFormat="1" applyFont="1" applyBorder="1" applyAlignment="1">
      <alignment horizontal="right" vertical="center" wrapText="1"/>
    </xf>
    <xf numFmtId="49" fontId="2" fillId="0" borderId="0" xfId="0" applyNumberFormat="1" applyFont="1"/>
    <xf numFmtId="49" fontId="4" fillId="0" borderId="0" xfId="0" applyNumberFormat="1" applyFont="1"/>
    <xf numFmtId="49" fontId="8" fillId="0" borderId="0" xfId="0" applyNumberFormat="1" applyFont="1"/>
    <xf numFmtId="0" fontId="3" fillId="0" borderId="0" xfId="0" applyFont="1"/>
    <xf numFmtId="164" fontId="3" fillId="0" borderId="8" xfId="0" applyNumberFormat="1" applyFont="1" applyBorder="1" applyAlignment="1">
      <alignment horizontal="right" vertical="center" wrapText="1"/>
    </xf>
    <xf numFmtId="164" fontId="3" fillId="0" borderId="7" xfId="0" applyNumberFormat="1" applyFont="1" applyBorder="1" applyAlignment="1">
      <alignment horizontal="center" vertical="center" wrapText="1"/>
    </xf>
    <xf numFmtId="0" fontId="8" fillId="0" borderId="0" xfId="0" applyFont="1"/>
    <xf numFmtId="4" fontId="3" fillId="0" borderId="6" xfId="0" applyNumberFormat="1" applyFont="1" applyBorder="1" applyAlignment="1">
      <alignment horizontal="right" vertical="center" wrapText="1"/>
    </xf>
    <xf numFmtId="4" fontId="4" fillId="0" borderId="0" xfId="0" applyNumberFormat="1" applyFont="1"/>
    <xf numFmtId="4" fontId="2" fillId="0" borderId="0" xfId="0" applyNumberFormat="1" applyFont="1"/>
    <xf numFmtId="0" fontId="10" fillId="0" borderId="0" xfId="0" applyFont="1"/>
    <xf numFmtId="0" fontId="11" fillId="0" borderId="0" xfId="1" applyFont="1"/>
    <xf numFmtId="0" fontId="12" fillId="0" borderId="0" xfId="1" applyFont="1"/>
    <xf numFmtId="0" fontId="15" fillId="0" borderId="3" xfId="1" applyFont="1" applyBorder="1" applyAlignment="1">
      <alignment horizontal="center" vertical="center" wrapText="1"/>
    </xf>
    <xf numFmtId="0" fontId="15" fillId="0" borderId="7" xfId="1" applyFont="1" applyBorder="1" applyAlignment="1">
      <alignment horizontal="center"/>
    </xf>
    <xf numFmtId="4" fontId="12" fillId="0" borderId="0" xfId="1" applyNumberFormat="1" applyFont="1"/>
    <xf numFmtId="16" fontId="16" fillId="0" borderId="7" xfId="1" applyNumberFormat="1" applyFont="1" applyBorder="1" applyAlignment="1">
      <alignment horizontal="center"/>
    </xf>
    <xf numFmtId="0" fontId="15" fillId="0" borderId="8" xfId="1" applyFont="1" applyBorder="1" applyAlignment="1">
      <alignment horizontal="center"/>
    </xf>
    <xf numFmtId="0" fontId="1" fillId="0" borderId="0" xfId="1" applyAlignment="1">
      <alignment horizontal="right"/>
    </xf>
    <xf numFmtId="0" fontId="1" fillId="0" borderId="0" xfId="1"/>
    <xf numFmtId="4" fontId="0" fillId="0" borderId="0" xfId="0" applyNumberFormat="1"/>
    <xf numFmtId="4" fontId="10" fillId="0" borderId="0" xfId="0" applyNumberFormat="1" applyFont="1"/>
    <xf numFmtId="168" fontId="10" fillId="0" borderId="0" xfId="0" applyNumberFormat="1" applyFont="1"/>
    <xf numFmtId="0" fontId="1" fillId="0" borderId="2" xfId="1" applyBorder="1"/>
    <xf numFmtId="0" fontId="1" fillId="0" borderId="2" xfId="1" applyBorder="1" applyAlignment="1">
      <alignment wrapText="1"/>
    </xf>
    <xf numFmtId="0" fontId="9" fillId="0" borderId="4" xfId="1" applyFont="1" applyBorder="1"/>
    <xf numFmtId="0" fontId="9" fillId="0" borderId="5" xfId="1" applyFont="1" applyBorder="1"/>
    <xf numFmtId="0" fontId="1" fillId="0" borderId="8" xfId="1" applyBorder="1"/>
    <xf numFmtId="0" fontId="9" fillId="0" borderId="9" xfId="1" applyFont="1" applyBorder="1"/>
    <xf numFmtId="0" fontId="9" fillId="0" borderId="3" xfId="1" applyFont="1" applyBorder="1"/>
    <xf numFmtId="0" fontId="1" fillId="0" borderId="7" xfId="1" applyBorder="1" applyAlignment="1">
      <alignment horizontal="center"/>
    </xf>
    <xf numFmtId="0" fontId="1" fillId="0" borderId="7" xfId="1" applyBorder="1" applyAlignment="1">
      <alignment horizontal="center" vertical="center"/>
    </xf>
    <xf numFmtId="0" fontId="1" fillId="0" borderId="2" xfId="1" applyBorder="1" applyAlignment="1">
      <alignment vertical="center" wrapText="1"/>
    </xf>
    <xf numFmtId="165" fontId="18" fillId="0" borderId="0" xfId="1" applyNumberFormat="1" applyFont="1" applyAlignment="1">
      <alignment horizontal="center" vertical="center"/>
    </xf>
    <xf numFmtId="165" fontId="0" fillId="0" borderId="0" xfId="0" applyNumberFormat="1"/>
    <xf numFmtId="4" fontId="25" fillId="0" borderId="0" xfId="0" applyNumberFormat="1" applyFont="1"/>
    <xf numFmtId="165" fontId="10" fillId="0" borderId="0" xfId="0" applyNumberFormat="1" applyFont="1"/>
    <xf numFmtId="0" fontId="27" fillId="0" borderId="0" xfId="0" applyFont="1"/>
    <xf numFmtId="4" fontId="2" fillId="0" borderId="6" xfId="0" applyNumberFormat="1" applyFont="1" applyBorder="1" applyAlignment="1">
      <alignment horizontal="right" vertical="center" wrapText="1"/>
    </xf>
    <xf numFmtId="4" fontId="3" fillId="0" borderId="23" xfId="0" applyNumberFormat="1" applyFont="1" applyBorder="1" applyAlignment="1">
      <alignment horizontal="right" vertical="center" wrapText="1"/>
    </xf>
    <xf numFmtId="4" fontId="2" fillId="0" borderId="23" xfId="0" applyNumberFormat="1" applyFont="1" applyBorder="1" applyAlignment="1">
      <alignment horizontal="right" vertical="center" wrapText="1"/>
    </xf>
    <xf numFmtId="49" fontId="27" fillId="0" borderId="0" xfId="0" applyNumberFormat="1" applyFont="1"/>
    <xf numFmtId="0" fontId="10" fillId="0" borderId="0" xfId="0" applyFont="1" applyAlignment="1">
      <alignment horizontal="center"/>
    </xf>
    <xf numFmtId="0" fontId="1" fillId="0" borderId="30" xfId="1" applyBorder="1" applyAlignment="1">
      <alignment horizontal="center"/>
    </xf>
    <xf numFmtId="0" fontId="8" fillId="0" borderId="39" xfId="2" applyFont="1" applyBorder="1" applyAlignment="1">
      <alignment horizontal="center"/>
    </xf>
    <xf numFmtId="0" fontId="8" fillId="0" borderId="40" xfId="2" applyFont="1" applyBorder="1"/>
    <xf numFmtId="0" fontId="8" fillId="0" borderId="22" xfId="2" applyFont="1" applyBorder="1" applyAlignment="1">
      <alignment horizontal="right"/>
    </xf>
    <xf numFmtId="0" fontId="8" fillId="0" borderId="20" xfId="2" applyFont="1" applyBorder="1"/>
    <xf numFmtId="0" fontId="21" fillId="0" borderId="22" xfId="2" applyFont="1" applyBorder="1" applyAlignment="1">
      <alignment horizontal="right"/>
    </xf>
    <xf numFmtId="0" fontId="21" fillId="0" borderId="20" xfId="2" applyFont="1" applyBorder="1"/>
    <xf numFmtId="0" fontId="8" fillId="0" borderId="22" xfId="2" applyFont="1" applyBorder="1" applyAlignment="1">
      <alignment horizontal="center"/>
    </xf>
    <xf numFmtId="0" fontId="8" fillId="0" borderId="26" xfId="2" applyFont="1" applyBorder="1" applyAlignment="1">
      <alignment horizontal="center"/>
    </xf>
    <xf numFmtId="0" fontId="8" fillId="0" borderId="24" xfId="2" applyFont="1" applyBorder="1"/>
    <xf numFmtId="0" fontId="19" fillId="0" borderId="0" xfId="2"/>
    <xf numFmtId="0" fontId="9" fillId="0" borderId="10" xfId="1" applyFont="1" applyBorder="1"/>
    <xf numFmtId="0" fontId="1" fillId="0" borderId="0" xfId="1" applyAlignment="1">
      <alignment horizontal="center"/>
    </xf>
    <xf numFmtId="0" fontId="8" fillId="0" borderId="35" xfId="2" applyFont="1" applyBorder="1" applyAlignment="1">
      <alignment horizontal="center" vertical="center" wrapText="1"/>
    </xf>
    <xf numFmtId="0" fontId="8" fillId="0" borderId="36" xfId="2" applyFont="1" applyBorder="1" applyAlignment="1">
      <alignment horizontal="center" vertical="center" wrapText="1"/>
    </xf>
    <xf numFmtId="0" fontId="8" fillId="0" borderId="37" xfId="2" applyFont="1" applyBorder="1" applyAlignment="1">
      <alignment horizontal="center" vertical="center" wrapText="1"/>
    </xf>
    <xf numFmtId="0" fontId="8" fillId="0" borderId="38" xfId="2" applyFont="1" applyBorder="1" applyAlignment="1">
      <alignment horizontal="center" vertical="center" wrapText="1"/>
    </xf>
    <xf numFmtId="2" fontId="1" fillId="0" borderId="0" xfId="1" applyNumberFormat="1"/>
    <xf numFmtId="0" fontId="1" fillId="0" borderId="30" xfId="1" applyBorder="1"/>
    <xf numFmtId="4" fontId="3" fillId="0" borderId="2" xfId="0" applyNumberFormat="1" applyFont="1" applyBorder="1" applyAlignment="1">
      <alignment horizontal="right" vertical="center" wrapText="1"/>
    </xf>
    <xf numFmtId="0" fontId="6" fillId="0" borderId="2" xfId="0" applyFont="1" applyBorder="1" applyAlignment="1">
      <alignment horizontal="center" vertical="center" wrapText="1"/>
    </xf>
    <xf numFmtId="4" fontId="3" fillId="0" borderId="0" xfId="0" applyNumberFormat="1" applyFont="1"/>
    <xf numFmtId="4" fontId="4" fillId="0" borderId="0" xfId="0" applyNumberFormat="1" applyFont="1" applyAlignment="1">
      <alignment horizontal="right" vertical="center"/>
    </xf>
    <xf numFmtId="4" fontId="4" fillId="0" borderId="0" xfId="0" applyNumberFormat="1" applyFont="1" applyAlignment="1">
      <alignment horizontal="center"/>
    </xf>
    <xf numFmtId="4" fontId="28" fillId="0" borderId="0" xfId="0" applyNumberFormat="1" applyFont="1"/>
    <xf numFmtId="167" fontId="4" fillId="0" borderId="0" xfId="0" applyNumberFormat="1" applyFont="1"/>
    <xf numFmtId="0" fontId="5" fillId="0" borderId="2" xfId="0" applyFont="1" applyBorder="1" applyAlignment="1">
      <alignment vertical="center"/>
    </xf>
    <xf numFmtId="49" fontId="3" fillId="0" borderId="2" xfId="0" applyNumberFormat="1" applyFont="1" applyBorder="1" applyAlignment="1">
      <alignment horizontal="center" vertical="center" wrapText="1"/>
    </xf>
    <xf numFmtId="164" fontId="4" fillId="0" borderId="2" xfId="0" applyNumberFormat="1" applyFont="1" applyBorder="1" applyAlignment="1">
      <alignment horizontal="left" vertical="center" wrapText="1"/>
    </xf>
    <xf numFmtId="4" fontId="4" fillId="0" borderId="2" xfId="0" applyNumberFormat="1" applyFont="1" applyBorder="1" applyAlignment="1">
      <alignment horizontal="right" vertical="center" wrapText="1"/>
    </xf>
    <xf numFmtId="49" fontId="4" fillId="0" borderId="2" xfId="0" applyNumberFormat="1" applyFont="1" applyBorder="1" applyAlignment="1">
      <alignment horizontal="right" vertical="center" wrapText="1"/>
    </xf>
    <xf numFmtId="49" fontId="3" fillId="0" borderId="2" xfId="0" applyNumberFormat="1" applyFont="1" applyBorder="1" applyAlignment="1">
      <alignment horizontal="right" vertical="center" wrapText="1"/>
    </xf>
    <xf numFmtId="4" fontId="1" fillId="0" borderId="0" xfId="1" applyNumberFormat="1"/>
    <xf numFmtId="4" fontId="28" fillId="0" borderId="2" xfId="0" applyNumberFormat="1" applyFont="1" applyBorder="1" applyAlignment="1">
      <alignment horizontal="right" vertical="center" wrapText="1"/>
    </xf>
    <xf numFmtId="4" fontId="2" fillId="0" borderId="2" xfId="0" applyNumberFormat="1" applyFont="1" applyBorder="1"/>
    <xf numFmtId="4" fontId="4" fillId="0" borderId="2" xfId="0" applyNumberFormat="1" applyFont="1" applyBorder="1"/>
    <xf numFmtId="4" fontId="2" fillId="0" borderId="2" xfId="0" applyNumberFormat="1" applyFont="1" applyBorder="1" applyAlignment="1">
      <alignment horizontal="right" vertical="center" wrapText="1"/>
    </xf>
    <xf numFmtId="4" fontId="3" fillId="0" borderId="2" xfId="0" applyNumberFormat="1" applyFont="1" applyBorder="1"/>
    <xf numFmtId="4" fontId="3" fillId="0" borderId="20" xfId="0" applyNumberFormat="1" applyFont="1" applyBorder="1" applyAlignment="1">
      <alignment horizontal="right" vertical="center" wrapText="1"/>
    </xf>
    <xf numFmtId="4" fontId="3" fillId="0" borderId="9" xfId="0" applyNumberFormat="1" applyFont="1" applyBorder="1" applyAlignment="1">
      <alignment horizontal="right" vertical="center" wrapText="1"/>
    </xf>
    <xf numFmtId="0" fontId="6" fillId="0" borderId="2" xfId="0" applyFont="1" applyBorder="1"/>
    <xf numFmtId="0" fontId="7" fillId="0" borderId="2" xfId="0" applyFont="1" applyBorder="1"/>
    <xf numFmtId="0" fontId="6" fillId="0" borderId="2" xfId="0" applyFont="1" applyBorder="1" applyAlignment="1">
      <alignment horizontal="left" vertical="justify" wrapText="1"/>
    </xf>
    <xf numFmtId="0" fontId="5" fillId="0" borderId="2" xfId="0" applyFont="1" applyBorder="1"/>
    <xf numFmtId="165" fontId="8" fillId="0" borderId="41" xfId="2" applyNumberFormat="1" applyFont="1" applyBorder="1"/>
    <xf numFmtId="165" fontId="8" fillId="0" borderId="42" xfId="2" applyNumberFormat="1" applyFont="1" applyBorder="1"/>
    <xf numFmtId="165" fontId="8" fillId="0" borderId="43" xfId="2" applyNumberFormat="1" applyFont="1" applyBorder="1"/>
    <xf numFmtId="165" fontId="8" fillId="0" borderId="2" xfId="2" applyNumberFormat="1" applyFont="1" applyBorder="1"/>
    <xf numFmtId="165" fontId="8" fillId="0" borderId="7" xfId="2" applyNumberFormat="1" applyFont="1" applyBorder="1"/>
    <xf numFmtId="165" fontId="8" fillId="0" borderId="23" xfId="2" applyNumberFormat="1" applyFont="1" applyBorder="1"/>
    <xf numFmtId="165" fontId="21" fillId="0" borderId="2" xfId="2" applyNumberFormat="1" applyFont="1" applyBorder="1"/>
    <xf numFmtId="165" fontId="21" fillId="0" borderId="7" xfId="2" applyNumberFormat="1" applyFont="1" applyBorder="1"/>
    <xf numFmtId="165" fontId="21" fillId="0" borderId="6" xfId="2" applyNumberFormat="1" applyFont="1" applyBorder="1"/>
    <xf numFmtId="165" fontId="8" fillId="0" borderId="6" xfId="2" applyNumberFormat="1" applyFont="1" applyBorder="1"/>
    <xf numFmtId="165" fontId="8" fillId="0" borderId="46" xfId="2" applyNumberFormat="1" applyFont="1" applyBorder="1"/>
    <xf numFmtId="165" fontId="8" fillId="0" borderId="47" xfId="2" applyNumberFormat="1" applyFont="1" applyBorder="1"/>
    <xf numFmtId="165" fontId="8" fillId="0" borderId="48" xfId="2" applyNumberFormat="1" applyFont="1" applyBorder="1"/>
    <xf numFmtId="165" fontId="8" fillId="0" borderId="49" xfId="2" applyNumberFormat="1" applyFont="1" applyBorder="1"/>
    <xf numFmtId="165" fontId="21" fillId="0" borderId="41" xfId="2" applyNumberFormat="1" applyFont="1" applyBorder="1"/>
    <xf numFmtId="165" fontId="21" fillId="0" borderId="42" xfId="2" applyNumberFormat="1" applyFont="1" applyBorder="1"/>
    <xf numFmtId="165" fontId="21" fillId="0" borderId="50" xfId="2" applyNumberFormat="1" applyFont="1" applyBorder="1"/>
    <xf numFmtId="165" fontId="8" fillId="0" borderId="9" xfId="2" applyNumberFormat="1" applyFont="1" applyBorder="1"/>
    <xf numFmtId="165" fontId="21" fillId="0" borderId="8" xfId="2" applyNumberFormat="1" applyFont="1" applyBorder="1"/>
    <xf numFmtId="165" fontId="21" fillId="0" borderId="9" xfId="2" applyNumberFormat="1" applyFont="1" applyBorder="1"/>
    <xf numFmtId="165" fontId="21" fillId="0" borderId="10" xfId="2" applyNumberFormat="1" applyFont="1" applyBorder="1"/>
    <xf numFmtId="165" fontId="8" fillId="0" borderId="53" xfId="2" applyNumberFormat="1" applyFont="1" applyBorder="1"/>
    <xf numFmtId="165" fontId="8" fillId="0" borderId="54" xfId="2" applyNumberFormat="1" applyFont="1" applyBorder="1"/>
    <xf numFmtId="165" fontId="8" fillId="0" borderId="55" xfId="2" applyNumberFormat="1" applyFont="1" applyBorder="1"/>
    <xf numFmtId="0" fontId="1" fillId="0" borderId="6" xfId="1" applyBorder="1" applyAlignment="1">
      <alignment vertical="center"/>
    </xf>
    <xf numFmtId="49" fontId="2" fillId="0" borderId="2" xfId="0" applyNumberFormat="1" applyFont="1" applyBorder="1"/>
    <xf numFmtId="49" fontId="2" fillId="0" borderId="2" xfId="0" applyNumberFormat="1" applyFont="1" applyBorder="1" applyAlignment="1">
      <alignment horizontal="right" vertical="center" wrapText="1"/>
    </xf>
    <xf numFmtId="164" fontId="2" fillId="0" borderId="2" xfId="0" applyNumberFormat="1" applyFont="1" applyBorder="1" applyAlignment="1">
      <alignment horizontal="left" vertical="center" wrapText="1"/>
    </xf>
    <xf numFmtId="166" fontId="2" fillId="0" borderId="0" xfId="0" applyNumberFormat="1" applyFont="1"/>
    <xf numFmtId="2" fontId="2" fillId="0" borderId="0" xfId="0" applyNumberFormat="1" applyFont="1"/>
    <xf numFmtId="164" fontId="2" fillId="0" borderId="7" xfId="0" applyNumberFormat="1" applyFont="1" applyBorder="1" applyAlignment="1">
      <alignment horizontal="right" vertical="center" wrapText="1"/>
    </xf>
    <xf numFmtId="4" fontId="2" fillId="0" borderId="20" xfId="0" applyNumberFormat="1" applyFont="1" applyBorder="1" applyAlignment="1">
      <alignment horizontal="right" vertical="center" wrapText="1"/>
    </xf>
    <xf numFmtId="4" fontId="2" fillId="0" borderId="20" xfId="0" applyNumberFormat="1" applyFont="1" applyBorder="1"/>
    <xf numFmtId="17" fontId="2" fillId="0" borderId="0" xfId="0" applyNumberFormat="1" applyFont="1"/>
    <xf numFmtId="4" fontId="9" fillId="0" borderId="0" xfId="0" applyNumberFormat="1" applyFont="1"/>
    <xf numFmtId="4" fontId="4" fillId="0" borderId="2" xfId="0" applyNumberFormat="1" applyFont="1" applyBorder="1" applyAlignment="1">
      <alignment vertical="center"/>
    </xf>
    <xf numFmtId="165" fontId="17" fillId="0" borderId="2" xfId="1" applyNumberFormat="1" applyFont="1" applyBorder="1" applyAlignment="1">
      <alignment horizontal="center" vertical="center"/>
    </xf>
    <xf numFmtId="165" fontId="18" fillId="0" borderId="2" xfId="1" applyNumberFormat="1" applyFont="1" applyBorder="1" applyAlignment="1">
      <alignment horizontal="center" vertical="center"/>
    </xf>
    <xf numFmtId="165" fontId="18" fillId="0" borderId="6" xfId="1" applyNumberFormat="1" applyFont="1" applyBorder="1" applyAlignment="1">
      <alignment horizontal="center" vertical="center"/>
    </xf>
    <xf numFmtId="165" fontId="17" fillId="0" borderId="9" xfId="1" applyNumberFormat="1" applyFont="1" applyBorder="1" applyAlignment="1">
      <alignment horizontal="center"/>
    </xf>
    <xf numFmtId="165" fontId="17" fillId="0" borderId="10" xfId="1" applyNumberFormat="1" applyFont="1" applyBorder="1" applyAlignment="1">
      <alignment horizontal="center"/>
    </xf>
    <xf numFmtId="4" fontId="4" fillId="0" borderId="20" xfId="0" applyNumberFormat="1" applyFont="1" applyBorder="1"/>
    <xf numFmtId="0" fontId="4" fillId="0" borderId="0" xfId="0" applyFont="1" applyFill="1"/>
    <xf numFmtId="4" fontId="4" fillId="0" borderId="0" xfId="0" applyNumberFormat="1" applyFont="1" applyFill="1"/>
    <xf numFmtId="4" fontId="2" fillId="0" borderId="0" xfId="0" applyNumberFormat="1" applyFont="1" applyFill="1"/>
    <xf numFmtId="4" fontId="3" fillId="0" borderId="2" xfId="0" applyNumberFormat="1" applyFont="1" applyFill="1" applyBorder="1"/>
    <xf numFmtId="4" fontId="4" fillId="0" borderId="2" xfId="0" applyNumberFormat="1" applyFont="1" applyFill="1" applyBorder="1"/>
    <xf numFmtId="0" fontId="2" fillId="0" borderId="0" xfId="0" applyFont="1" applyFill="1"/>
    <xf numFmtId="0" fontId="3" fillId="0" borderId="0" xfId="0" applyFont="1" applyFill="1"/>
    <xf numFmtId="4" fontId="3" fillId="0" borderId="0" xfId="0" applyNumberFormat="1" applyFont="1" applyFill="1"/>
    <xf numFmtId="4" fontId="3" fillId="0" borderId="2" xfId="0" applyNumberFormat="1" applyFont="1" applyFill="1" applyBorder="1" applyAlignment="1">
      <alignment horizontal="right" vertical="center" wrapText="1"/>
    </xf>
    <xf numFmtId="4" fontId="3" fillId="0" borderId="23" xfId="0" applyNumberFormat="1" applyFont="1" applyFill="1" applyBorder="1" applyAlignment="1">
      <alignment horizontal="right" vertical="center" wrapText="1"/>
    </xf>
    <xf numFmtId="4" fontId="2" fillId="0" borderId="2" xfId="0" applyNumberFormat="1" applyFont="1" applyFill="1" applyBorder="1"/>
    <xf numFmtId="4" fontId="4" fillId="0" borderId="23" xfId="0" applyNumberFormat="1" applyFont="1" applyFill="1" applyBorder="1" applyAlignment="1">
      <alignment horizontal="right" vertical="center" wrapText="1"/>
    </xf>
    <xf numFmtId="4" fontId="3" fillId="0" borderId="6" xfId="0" applyNumberFormat="1" applyFont="1" applyFill="1" applyBorder="1" applyAlignment="1">
      <alignment horizontal="right" vertical="center" wrapText="1"/>
    </xf>
    <xf numFmtId="4" fontId="4" fillId="0" borderId="6" xfId="0" applyNumberFormat="1" applyFont="1" applyFill="1" applyBorder="1" applyAlignment="1">
      <alignment horizontal="right" vertical="center" wrapText="1"/>
    </xf>
    <xf numFmtId="4" fontId="28" fillId="0" borderId="2" xfId="0" applyNumberFormat="1" applyFont="1" applyFill="1" applyBorder="1" applyAlignment="1">
      <alignment horizontal="right" vertical="center" wrapText="1"/>
    </xf>
    <xf numFmtId="4" fontId="4" fillId="0" borderId="2" xfId="0" applyNumberFormat="1" applyFont="1" applyFill="1" applyBorder="1" applyAlignment="1">
      <alignment horizontal="right" vertical="center" wrapText="1"/>
    </xf>
    <xf numFmtId="4" fontId="2" fillId="0" borderId="2" xfId="0" applyNumberFormat="1" applyFont="1" applyFill="1" applyBorder="1" applyAlignment="1">
      <alignment horizontal="right" vertical="center"/>
    </xf>
    <xf numFmtId="4" fontId="2" fillId="0" borderId="2" xfId="0" applyNumberFormat="1" applyFont="1" applyFill="1" applyBorder="1" applyAlignment="1">
      <alignment horizontal="right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164" fontId="3" fillId="0" borderId="31" xfId="0" applyNumberFormat="1" applyFont="1" applyBorder="1" applyAlignment="1">
      <alignment horizontal="center" vertical="center" wrapText="1"/>
    </xf>
    <xf numFmtId="164" fontId="3" fillId="0" borderId="57" xfId="0" applyNumberFormat="1" applyFont="1" applyBorder="1" applyAlignment="1">
      <alignment horizontal="center" vertical="center" wrapText="1"/>
    </xf>
    <xf numFmtId="164" fontId="3" fillId="0" borderId="58" xfId="0" applyNumberFormat="1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164" fontId="3" fillId="0" borderId="5" xfId="0" applyNumberFormat="1" applyFont="1" applyBorder="1" applyAlignment="1">
      <alignment horizontal="center" vertical="center" wrapText="1"/>
    </xf>
    <xf numFmtId="165" fontId="18" fillId="0" borderId="0" xfId="1" applyNumberFormat="1" applyFont="1" applyAlignment="1">
      <alignment horizontal="center" vertical="center"/>
    </xf>
    <xf numFmtId="0" fontId="17" fillId="0" borderId="8" xfId="1" applyFont="1" applyBorder="1" applyAlignment="1">
      <alignment horizontal="center"/>
    </xf>
    <xf numFmtId="0" fontId="17" fillId="0" borderId="9" xfId="1" applyFont="1" applyBorder="1" applyAlignment="1">
      <alignment horizontal="center"/>
    </xf>
    <xf numFmtId="0" fontId="1" fillId="0" borderId="0" xfId="1" applyAlignment="1">
      <alignment horizontal="center"/>
    </xf>
    <xf numFmtId="0" fontId="17" fillId="0" borderId="7" xfId="1" applyFont="1" applyBorder="1" applyAlignment="1">
      <alignment horizontal="center" vertical="center"/>
    </xf>
    <xf numFmtId="0" fontId="17" fillId="0" borderId="2" xfId="1" applyFont="1" applyBorder="1" applyAlignment="1">
      <alignment horizontal="center" vertical="center"/>
    </xf>
    <xf numFmtId="0" fontId="17" fillId="0" borderId="7" xfId="1" applyFont="1" applyBorder="1" applyAlignment="1">
      <alignment horizontal="center" vertical="center" wrapText="1"/>
    </xf>
    <xf numFmtId="0" fontId="17" fillId="0" borderId="2" xfId="1" applyFont="1" applyBorder="1" applyAlignment="1">
      <alignment horizontal="center" vertical="center" wrapText="1"/>
    </xf>
    <xf numFmtId="165" fontId="17" fillId="0" borderId="2" xfId="1" applyNumberFormat="1" applyFont="1" applyBorder="1" applyAlignment="1">
      <alignment horizontal="center" vertical="center" wrapText="1"/>
    </xf>
    <xf numFmtId="165" fontId="18" fillId="0" borderId="62" xfId="1" applyNumberFormat="1" applyFont="1" applyBorder="1" applyAlignment="1">
      <alignment horizontal="center" vertical="center"/>
    </xf>
    <xf numFmtId="165" fontId="18" fillId="0" borderId="63" xfId="1" applyNumberFormat="1" applyFont="1" applyBorder="1" applyAlignment="1">
      <alignment horizontal="center" vertical="center"/>
    </xf>
    <xf numFmtId="165" fontId="18" fillId="0" borderId="28" xfId="1" applyNumberFormat="1" applyFont="1" applyBorder="1" applyAlignment="1">
      <alignment horizontal="center" vertical="center"/>
    </xf>
    <xf numFmtId="165" fontId="18" fillId="0" borderId="29" xfId="1" applyNumberFormat="1" applyFont="1" applyBorder="1" applyAlignment="1">
      <alignment horizontal="center" vertical="center"/>
    </xf>
    <xf numFmtId="0" fontId="15" fillId="0" borderId="11" xfId="1" applyFont="1" applyBorder="1" applyAlignment="1">
      <alignment horizontal="center" vertical="center"/>
    </xf>
    <xf numFmtId="0" fontId="15" fillId="0" borderId="12" xfId="1" applyFont="1" applyBorder="1" applyAlignment="1">
      <alignment horizontal="center" vertical="center"/>
    </xf>
    <xf numFmtId="0" fontId="15" fillId="0" borderId="13" xfId="1" applyFont="1" applyBorder="1" applyAlignment="1">
      <alignment horizontal="center" vertical="center"/>
    </xf>
    <xf numFmtId="165" fontId="15" fillId="0" borderId="11" xfId="1" applyNumberFormat="1" applyFont="1" applyBorder="1" applyAlignment="1">
      <alignment horizontal="right" vertical="center"/>
    </xf>
    <xf numFmtId="165" fontId="15" fillId="0" borderId="13" xfId="1" applyNumberFormat="1" applyFont="1" applyBorder="1" applyAlignment="1">
      <alignment horizontal="right" vertical="center"/>
    </xf>
    <xf numFmtId="0" fontId="17" fillId="0" borderId="3" xfId="1" applyFont="1" applyBorder="1" applyAlignment="1">
      <alignment horizontal="center" vertical="center"/>
    </xf>
    <xf numFmtId="0" fontId="17" fillId="0" borderId="4" xfId="1" applyFont="1" applyBorder="1" applyAlignment="1">
      <alignment horizontal="center" vertical="center"/>
    </xf>
    <xf numFmtId="0" fontId="17" fillId="0" borderId="4" xfId="1" applyFont="1" applyBorder="1" applyAlignment="1">
      <alignment horizontal="center" vertical="center" wrapText="1"/>
    </xf>
    <xf numFmtId="0" fontId="17" fillId="0" borderId="5" xfId="1" applyFont="1" applyBorder="1" applyAlignment="1">
      <alignment horizontal="center" vertical="center" wrapText="1"/>
    </xf>
    <xf numFmtId="0" fontId="17" fillId="0" borderId="6" xfId="1" applyFont="1" applyBorder="1" applyAlignment="1">
      <alignment horizontal="center" vertical="center" wrapText="1"/>
    </xf>
    <xf numFmtId="0" fontId="15" fillId="0" borderId="20" xfId="1" applyFont="1" applyBorder="1" applyAlignment="1">
      <alignment vertical="center" wrapText="1"/>
    </xf>
    <xf numFmtId="0" fontId="15" fillId="0" borderId="21" xfId="1" applyFont="1" applyBorder="1" applyAlignment="1">
      <alignment vertical="center" wrapText="1"/>
    </xf>
    <xf numFmtId="165" fontId="15" fillId="0" borderId="22" xfId="1" applyNumberFormat="1" applyFont="1" applyBorder="1" applyAlignment="1">
      <alignment horizontal="right" vertical="center"/>
    </xf>
    <xf numFmtId="165" fontId="15" fillId="0" borderId="23" xfId="1" applyNumberFormat="1" applyFont="1" applyBorder="1" applyAlignment="1">
      <alignment horizontal="right" vertical="center"/>
    </xf>
    <xf numFmtId="165" fontId="15" fillId="0" borderId="22" xfId="1" applyNumberFormat="1" applyFont="1" applyBorder="1" applyAlignment="1">
      <alignment horizontal="right"/>
    </xf>
    <xf numFmtId="165" fontId="15" fillId="0" borderId="23" xfId="1" applyNumberFormat="1" applyFont="1" applyBorder="1" applyAlignment="1">
      <alignment horizontal="right"/>
    </xf>
    <xf numFmtId="0" fontId="15" fillId="0" borderId="24" xfId="1" applyFont="1" applyBorder="1" applyAlignment="1">
      <alignment horizontal="left"/>
    </xf>
    <xf numFmtId="0" fontId="15" fillId="0" borderId="25" xfId="1" applyFont="1" applyBorder="1" applyAlignment="1">
      <alignment horizontal="left"/>
    </xf>
    <xf numFmtId="165" fontId="15" fillId="0" borderId="26" xfId="1" applyNumberFormat="1" applyFont="1" applyBorder="1" applyAlignment="1">
      <alignment horizontal="right" vertical="center"/>
    </xf>
    <xf numFmtId="165" fontId="15" fillId="0" borderId="27" xfId="1" applyNumberFormat="1" applyFont="1" applyBorder="1" applyAlignment="1">
      <alignment horizontal="right" vertical="center"/>
    </xf>
    <xf numFmtId="165" fontId="15" fillId="0" borderId="26" xfId="1" applyNumberFormat="1" applyFont="1" applyBorder="1" applyAlignment="1">
      <alignment horizontal="right"/>
    </xf>
    <xf numFmtId="165" fontId="15" fillId="0" borderId="27" xfId="1" applyNumberFormat="1" applyFont="1" applyBorder="1" applyAlignment="1">
      <alignment horizontal="right"/>
    </xf>
    <xf numFmtId="0" fontId="15" fillId="0" borderId="20" xfId="1" applyFont="1" applyBorder="1" applyAlignment="1">
      <alignment vertical="center"/>
    </xf>
    <xf numFmtId="0" fontId="15" fillId="0" borderId="21" xfId="1" applyFont="1" applyBorder="1" applyAlignment="1">
      <alignment vertical="center"/>
    </xf>
    <xf numFmtId="165" fontId="16" fillId="0" borderId="22" xfId="1" applyNumberFormat="1" applyFont="1" applyBorder="1" applyAlignment="1">
      <alignment horizontal="right" vertical="center"/>
    </xf>
    <xf numFmtId="165" fontId="16" fillId="0" borderId="23" xfId="1" applyNumberFormat="1" applyFont="1" applyBorder="1" applyAlignment="1">
      <alignment horizontal="right" vertical="center"/>
    </xf>
    <xf numFmtId="165" fontId="16" fillId="0" borderId="22" xfId="1" applyNumberFormat="1" applyFont="1" applyBorder="1" applyAlignment="1">
      <alignment horizontal="right"/>
    </xf>
    <xf numFmtId="165" fontId="16" fillId="0" borderId="23" xfId="1" applyNumberFormat="1" applyFont="1" applyBorder="1" applyAlignment="1">
      <alignment horizontal="right"/>
    </xf>
    <xf numFmtId="0" fontId="16" fillId="0" borderId="20" xfId="1" applyFont="1" applyBorder="1" applyAlignment="1">
      <alignment vertical="center"/>
    </xf>
    <xf numFmtId="0" fontId="16" fillId="0" borderId="21" xfId="1" applyFont="1" applyBorder="1" applyAlignment="1">
      <alignment vertical="center"/>
    </xf>
    <xf numFmtId="0" fontId="16" fillId="0" borderId="20" xfId="1" applyFont="1" applyBorder="1" applyAlignment="1">
      <alignment vertical="center" wrapText="1"/>
    </xf>
    <xf numFmtId="0" fontId="16" fillId="0" borderId="21" xfId="1" applyFont="1" applyBorder="1" applyAlignment="1">
      <alignment vertical="center" wrapText="1"/>
    </xf>
    <xf numFmtId="0" fontId="13" fillId="0" borderId="11" xfId="1" applyFont="1" applyBorder="1" applyAlignment="1">
      <alignment horizontal="center"/>
    </xf>
    <xf numFmtId="0" fontId="13" fillId="0" borderId="12" xfId="1" applyFont="1" applyBorder="1" applyAlignment="1">
      <alignment horizontal="center"/>
    </xf>
    <xf numFmtId="0" fontId="13" fillId="0" borderId="13" xfId="1" applyFont="1" applyBorder="1" applyAlignment="1">
      <alignment horizontal="center"/>
    </xf>
    <xf numFmtId="0" fontId="14" fillId="2" borderId="14" xfId="1" applyFont="1" applyFill="1" applyBorder="1" applyAlignment="1">
      <alignment horizontal="center"/>
    </xf>
    <xf numFmtId="0" fontId="14" fillId="2" borderId="15" xfId="1" applyFont="1" applyFill="1" applyBorder="1" applyAlignment="1">
      <alignment horizontal="center"/>
    </xf>
    <xf numFmtId="0" fontId="15" fillId="0" borderId="16" xfId="1" applyFont="1" applyBorder="1" applyAlignment="1">
      <alignment horizontal="center" vertical="center"/>
    </xf>
    <xf numFmtId="0" fontId="15" fillId="0" borderId="17" xfId="1" applyFont="1" applyBorder="1" applyAlignment="1">
      <alignment horizontal="center" vertical="center"/>
    </xf>
    <xf numFmtId="0" fontId="15" fillId="0" borderId="18" xfId="1" applyFont="1" applyBorder="1" applyAlignment="1">
      <alignment horizontal="center" vertical="center" wrapText="1"/>
    </xf>
    <xf numFmtId="0" fontId="15" fillId="0" borderId="19" xfId="1" applyFont="1" applyBorder="1" applyAlignment="1">
      <alignment horizontal="center" vertical="center" wrapText="1"/>
    </xf>
    <xf numFmtId="0" fontId="1" fillId="0" borderId="56" xfId="1" applyBorder="1" applyAlignment="1">
      <alignment horizontal="center"/>
    </xf>
    <xf numFmtId="0" fontId="8" fillId="0" borderId="44" xfId="2" applyFont="1" applyBorder="1" applyAlignment="1">
      <alignment horizontal="left"/>
    </xf>
    <xf numFmtId="0" fontId="8" fillId="0" borderId="45" xfId="2" applyFont="1" applyBorder="1" applyAlignment="1">
      <alignment horizontal="left"/>
    </xf>
    <xf numFmtId="0" fontId="8" fillId="0" borderId="51" xfId="2" applyFont="1" applyBorder="1" applyAlignment="1">
      <alignment horizontal="center"/>
    </xf>
    <xf numFmtId="0" fontId="8" fillId="0" borderId="52" xfId="2" applyFont="1" applyBorder="1" applyAlignment="1">
      <alignment horizontal="center"/>
    </xf>
    <xf numFmtId="0" fontId="20" fillId="0" borderId="11" xfId="2" applyFont="1" applyBorder="1" applyAlignment="1">
      <alignment horizontal="center"/>
    </xf>
    <xf numFmtId="0" fontId="20" fillId="0" borderId="12" xfId="2" applyFont="1" applyBorder="1" applyAlignment="1">
      <alignment horizontal="center"/>
    </xf>
    <xf numFmtId="0" fontId="20" fillId="0" borderId="13" xfId="2" applyFont="1" applyBorder="1" applyAlignment="1">
      <alignment horizontal="center"/>
    </xf>
    <xf numFmtId="0" fontId="8" fillId="0" borderId="31" xfId="2" applyFont="1" applyBorder="1" applyAlignment="1">
      <alignment horizontal="center" vertical="center" wrapText="1"/>
    </xf>
    <xf numFmtId="0" fontId="8" fillId="0" borderId="33" xfId="2" applyFont="1" applyBorder="1" applyAlignment="1">
      <alignment horizontal="center" vertical="center" wrapText="1"/>
    </xf>
    <xf numFmtId="0" fontId="8" fillId="0" borderId="32" xfId="2" applyFont="1" applyBorder="1" applyAlignment="1">
      <alignment horizontal="center" vertical="center"/>
    </xf>
    <xf numFmtId="0" fontId="8" fillId="0" borderId="34" xfId="2" applyFont="1" applyBorder="1" applyAlignment="1">
      <alignment horizontal="center" vertical="center"/>
    </xf>
    <xf numFmtId="49" fontId="8" fillId="0" borderId="16" xfId="2" applyNumberFormat="1" applyFont="1" applyBorder="1" applyAlignment="1">
      <alignment horizontal="center" vertical="center" wrapText="1"/>
    </xf>
    <xf numFmtId="49" fontId="8" fillId="0" borderId="17" xfId="2" applyNumberFormat="1" applyFont="1" applyBorder="1" applyAlignment="1">
      <alignment horizontal="center" vertical="center" wrapText="1"/>
    </xf>
    <xf numFmtId="49" fontId="8" fillId="0" borderId="19" xfId="2" applyNumberFormat="1" applyFont="1" applyBorder="1" applyAlignment="1">
      <alignment horizontal="center" vertical="center" wrapText="1"/>
    </xf>
    <xf numFmtId="0" fontId="9" fillId="0" borderId="14" xfId="1" applyFont="1" applyBorder="1" applyAlignment="1">
      <alignment horizontal="center" wrapText="1"/>
    </xf>
    <xf numFmtId="0" fontId="9" fillId="0" borderId="59" xfId="1" applyFont="1" applyBorder="1" applyAlignment="1">
      <alignment horizontal="center" wrapText="1"/>
    </xf>
    <xf numFmtId="0" fontId="9" fillId="0" borderId="15" xfId="1" applyFont="1" applyBorder="1" applyAlignment="1">
      <alignment horizontal="center" wrapText="1"/>
    </xf>
    <xf numFmtId="0" fontId="9" fillId="0" borderId="51" xfId="1" applyFont="1" applyBorder="1" applyAlignment="1">
      <alignment horizontal="center" wrapText="1"/>
    </xf>
    <xf numFmtId="0" fontId="9" fillId="0" borderId="60" xfId="1" applyFont="1" applyBorder="1" applyAlignment="1">
      <alignment horizontal="center" wrapText="1"/>
    </xf>
    <xf numFmtId="0" fontId="9" fillId="0" borderId="61" xfId="1" applyFont="1" applyBorder="1" applyAlignment="1">
      <alignment horizontal="center" wrapText="1"/>
    </xf>
  </cellXfs>
  <cellStyles count="6">
    <cellStyle name="Normal" xfId="0" builtinId="0"/>
    <cellStyle name="Normal 2" xfId="1"/>
    <cellStyle name="Normal 2 2" xfId="3"/>
    <cellStyle name="Normal 2 2 2" xfId="5"/>
    <cellStyle name="Normal 3" xfId="4"/>
    <cellStyle name="Normal_buz final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6"/>
  <sheetViews>
    <sheetView tabSelected="1" workbookViewId="0">
      <selection activeCell="D30" sqref="D30"/>
    </sheetView>
  </sheetViews>
  <sheetFormatPr defaultColWidth="9.140625" defaultRowHeight="10.5" x14ac:dyDescent="0.15"/>
  <cols>
    <col min="1" max="1" width="9" style="9" customWidth="1"/>
    <col min="2" max="2" width="38.28515625" style="1" customWidth="1"/>
    <col min="3" max="3" width="12.28515625" style="1" customWidth="1"/>
    <col min="4" max="4" width="12.5703125" style="1" customWidth="1"/>
    <col min="5" max="5" width="12.140625" style="1" customWidth="1"/>
    <col min="6" max="6" width="9.140625" style="7" customWidth="1"/>
    <col min="7" max="7" width="9.140625" style="1" customWidth="1"/>
    <col min="8" max="16384" width="9.140625" style="1"/>
  </cols>
  <sheetData>
    <row r="1" spans="1:6" ht="11.25" thickBot="1" x14ac:dyDescent="0.2"/>
    <row r="2" spans="1:6" ht="17.25" customHeight="1" thickBot="1" x14ac:dyDescent="0.2">
      <c r="E2" s="156" t="s">
        <v>0</v>
      </c>
      <c r="F2" s="156" t="s">
        <v>0</v>
      </c>
    </row>
    <row r="3" spans="1:6" ht="11.25" thickBot="1" x14ac:dyDescent="0.2"/>
    <row r="4" spans="1:6" ht="24.75" customHeight="1" x14ac:dyDescent="0.15">
      <c r="A4" s="157" t="s">
        <v>1</v>
      </c>
      <c r="B4" s="158" t="s">
        <v>1</v>
      </c>
      <c r="C4" s="158" t="s">
        <v>1</v>
      </c>
      <c r="D4" s="158" t="s">
        <v>1</v>
      </c>
      <c r="E4" s="158" t="s">
        <v>1</v>
      </c>
      <c r="F4" s="159" t="s">
        <v>1</v>
      </c>
    </row>
    <row r="5" spans="1:6" ht="55.5" customHeight="1" x14ac:dyDescent="0.15">
      <c r="A5" s="121"/>
      <c r="B5" s="2" t="s">
        <v>2</v>
      </c>
      <c r="C5" s="2" t="s">
        <v>3</v>
      </c>
      <c r="D5" s="2" t="s">
        <v>384</v>
      </c>
      <c r="E5" s="2" t="s">
        <v>383</v>
      </c>
      <c r="F5" s="2" t="s">
        <v>4</v>
      </c>
    </row>
    <row r="6" spans="1:6" ht="13.5" customHeight="1" x14ac:dyDescent="0.15">
      <c r="A6" s="79" t="s">
        <v>5</v>
      </c>
      <c r="B6" s="3" t="s">
        <v>6</v>
      </c>
      <c r="C6" s="85">
        <f>SUM(C7,C12,C16,C32)</f>
        <v>6264000</v>
      </c>
      <c r="D6" s="71">
        <f>SUM(D7,D12,D16,D32)</f>
        <v>1000197.22</v>
      </c>
      <c r="E6" s="71">
        <f>SUM(E7,E12,E16,E32)</f>
        <v>6552956.79</v>
      </c>
      <c r="F6" s="71">
        <f>E6/C6*100</f>
        <v>104.61297557471265</v>
      </c>
    </row>
    <row r="7" spans="1:6" ht="10.5" customHeight="1" x14ac:dyDescent="0.15">
      <c r="A7" s="79" t="s">
        <v>7</v>
      </c>
      <c r="B7" s="3" t="s">
        <v>8</v>
      </c>
      <c r="C7" s="85">
        <f>SUM(C8:C11)</f>
        <v>5182000</v>
      </c>
      <c r="D7" s="71">
        <f>SUM(D8:D11)</f>
        <v>884313.67999999993</v>
      </c>
      <c r="E7" s="71">
        <f>SUM(E8:E11)</f>
        <v>5549982.6600000001</v>
      </c>
      <c r="F7" s="71">
        <f t="shared" ref="F7:F54" si="0">E7/C7*100</f>
        <v>107.10117059050559</v>
      </c>
    </row>
    <row r="8" spans="1:6" x14ac:dyDescent="0.15">
      <c r="A8" s="122" t="s">
        <v>9</v>
      </c>
      <c r="B8" s="80" t="s">
        <v>10</v>
      </c>
      <c r="C8" s="86">
        <v>4092000</v>
      </c>
      <c r="D8" s="86">
        <v>690802.97</v>
      </c>
      <c r="E8" s="87">
        <v>4400508.0199999996</v>
      </c>
      <c r="F8" s="81">
        <f t="shared" si="0"/>
        <v>107.53929667644182</v>
      </c>
    </row>
    <row r="9" spans="1:6" x14ac:dyDescent="0.15">
      <c r="A9" s="122" t="s">
        <v>11</v>
      </c>
      <c r="B9" s="123" t="s">
        <v>12</v>
      </c>
      <c r="C9" s="86">
        <v>650000</v>
      </c>
      <c r="D9" s="86">
        <v>103653.69</v>
      </c>
      <c r="E9" s="87">
        <v>683630.46</v>
      </c>
      <c r="F9" s="81">
        <f t="shared" si="0"/>
        <v>105.17391692307692</v>
      </c>
    </row>
    <row r="10" spans="1:6" x14ac:dyDescent="0.15">
      <c r="A10" s="122" t="s">
        <v>13</v>
      </c>
      <c r="B10" s="123" t="s">
        <v>14</v>
      </c>
      <c r="C10" s="86">
        <v>120000</v>
      </c>
      <c r="D10" s="86">
        <v>3964.27</v>
      </c>
      <c r="E10" s="87">
        <v>77517.66</v>
      </c>
      <c r="F10" s="81">
        <f t="shared" si="0"/>
        <v>64.598050000000001</v>
      </c>
    </row>
    <row r="11" spans="1:6" x14ac:dyDescent="0.15">
      <c r="A11" s="122" t="s">
        <v>15</v>
      </c>
      <c r="B11" s="123" t="s">
        <v>16</v>
      </c>
      <c r="C11" s="86">
        <v>320000</v>
      </c>
      <c r="D11" s="86">
        <v>85892.75</v>
      </c>
      <c r="E11" s="87">
        <v>388326.52</v>
      </c>
      <c r="F11" s="81">
        <f t="shared" si="0"/>
        <v>121.35203750000001</v>
      </c>
    </row>
    <row r="12" spans="1:6" x14ac:dyDescent="0.15">
      <c r="A12" s="79" t="s">
        <v>17</v>
      </c>
      <c r="B12" s="3" t="s">
        <v>18</v>
      </c>
      <c r="C12" s="85">
        <f>SUM(C13:C15)</f>
        <v>77000</v>
      </c>
      <c r="D12" s="71">
        <f>SUM(D13:D15)</f>
        <v>3762.3</v>
      </c>
      <c r="E12" s="71">
        <f>SUM(E13:E15)</f>
        <v>74483.709999999992</v>
      </c>
      <c r="F12" s="71">
        <f>E12/C12*100</f>
        <v>96.7320909090909</v>
      </c>
    </row>
    <row r="13" spans="1:6" x14ac:dyDescent="0.15">
      <c r="A13" s="122" t="s">
        <v>19</v>
      </c>
      <c r="B13" s="123" t="s">
        <v>20</v>
      </c>
      <c r="C13" s="86">
        <v>22000</v>
      </c>
      <c r="D13" s="86">
        <v>1398.5</v>
      </c>
      <c r="E13" s="86">
        <v>20182.86</v>
      </c>
      <c r="F13" s="81">
        <f t="shared" si="0"/>
        <v>91.740272727272725</v>
      </c>
    </row>
    <row r="14" spans="1:6" x14ac:dyDescent="0.15">
      <c r="A14" s="122" t="s">
        <v>21</v>
      </c>
      <c r="B14" s="123" t="s">
        <v>22</v>
      </c>
      <c r="C14" s="86">
        <v>55000</v>
      </c>
      <c r="D14" s="86">
        <v>2363.8000000000002</v>
      </c>
      <c r="E14" s="86">
        <v>54300.85</v>
      </c>
      <c r="F14" s="81">
        <f t="shared" si="0"/>
        <v>98.728818181818184</v>
      </c>
    </row>
    <row r="15" spans="1:6" x14ac:dyDescent="0.15">
      <c r="A15" s="122" t="s">
        <v>23</v>
      </c>
      <c r="B15" s="123" t="s">
        <v>24</v>
      </c>
      <c r="C15" s="88">
        <v>0</v>
      </c>
      <c r="D15" s="86">
        <v>0</v>
      </c>
      <c r="E15" s="86">
        <v>0</v>
      </c>
      <c r="F15" s="81">
        <v>0</v>
      </c>
    </row>
    <row r="16" spans="1:6" x14ac:dyDescent="0.15">
      <c r="A16" s="79" t="s">
        <v>25</v>
      </c>
      <c r="B16" s="3" t="s">
        <v>26</v>
      </c>
      <c r="C16" s="85">
        <f>SUM(C17,C22,C27,C29:C31)</f>
        <v>781000</v>
      </c>
      <c r="D16" s="71">
        <f>SUM(D17,D22,D27,D29:D31)</f>
        <v>66828.790000000008</v>
      </c>
      <c r="E16" s="71">
        <f>SUM(E17,E22,E27,E29:E31)</f>
        <v>743125.72</v>
      </c>
      <c r="F16" s="71">
        <f t="shared" si="0"/>
        <v>95.15054033290653</v>
      </c>
    </row>
    <row r="17" spans="1:11" x14ac:dyDescent="0.15">
      <c r="A17" s="82" t="s">
        <v>27</v>
      </c>
      <c r="B17" s="80" t="s">
        <v>28</v>
      </c>
      <c r="C17" s="88">
        <v>252000</v>
      </c>
      <c r="D17" s="88">
        <f t="shared" ref="D17:E17" si="1">SUM(D18:D21)</f>
        <v>3328.04</v>
      </c>
      <c r="E17" s="88">
        <f t="shared" si="1"/>
        <v>174807.45</v>
      </c>
      <c r="F17" s="81">
        <f t="shared" si="0"/>
        <v>69.36803571428571</v>
      </c>
    </row>
    <row r="18" spans="1:11" x14ac:dyDescent="0.15">
      <c r="A18" s="122" t="s">
        <v>29</v>
      </c>
      <c r="B18" s="123" t="s">
        <v>30</v>
      </c>
      <c r="C18" s="86">
        <v>200000</v>
      </c>
      <c r="D18" s="87">
        <v>3328.04</v>
      </c>
      <c r="E18" s="86">
        <v>137203.66</v>
      </c>
      <c r="F18" s="81">
        <f t="shared" si="0"/>
        <v>68.601829999999993</v>
      </c>
      <c r="G18" s="18"/>
    </row>
    <row r="19" spans="1:11" x14ac:dyDescent="0.15">
      <c r="A19" s="122" t="s">
        <v>31</v>
      </c>
      <c r="B19" s="123" t="s">
        <v>32</v>
      </c>
      <c r="C19" s="86">
        <v>50000</v>
      </c>
      <c r="D19" s="87">
        <v>0</v>
      </c>
      <c r="E19" s="86">
        <v>35713.79</v>
      </c>
      <c r="F19" s="81">
        <f>E19/C19*100</f>
        <v>71.427580000000006</v>
      </c>
    </row>
    <row r="20" spans="1:11" x14ac:dyDescent="0.15">
      <c r="A20" s="122" t="s">
        <v>33</v>
      </c>
      <c r="B20" s="123" t="s">
        <v>34</v>
      </c>
      <c r="C20" s="86">
        <v>2000</v>
      </c>
      <c r="D20" s="87">
        <v>0</v>
      </c>
      <c r="E20" s="86">
        <v>1890</v>
      </c>
      <c r="F20" s="81">
        <f t="shared" si="0"/>
        <v>94.5</v>
      </c>
      <c r="G20" s="18"/>
    </row>
    <row r="21" spans="1:11" x14ac:dyDescent="0.15">
      <c r="A21" s="122" t="s">
        <v>35</v>
      </c>
      <c r="B21" s="123" t="s">
        <v>36</v>
      </c>
      <c r="C21" s="86">
        <v>0</v>
      </c>
      <c r="D21" s="87">
        <v>0</v>
      </c>
      <c r="E21" s="86">
        <v>0</v>
      </c>
      <c r="F21" s="81">
        <v>0</v>
      </c>
    </row>
    <row r="22" spans="1:11" x14ac:dyDescent="0.15">
      <c r="A22" s="82" t="s">
        <v>37</v>
      </c>
      <c r="B22" s="80" t="s">
        <v>38</v>
      </c>
      <c r="C22" s="88">
        <f>SUM(C23:C25)</f>
        <v>302000</v>
      </c>
      <c r="D22" s="81">
        <f>SUM(D23:D25)</f>
        <v>53597.34</v>
      </c>
      <c r="E22" s="81">
        <f>SUM(E23:E25)</f>
        <v>345197.25</v>
      </c>
      <c r="F22" s="81">
        <f t="shared" si="0"/>
        <v>114.30372516556291</v>
      </c>
    </row>
    <row r="23" spans="1:11" x14ac:dyDescent="0.15">
      <c r="A23" s="122" t="s">
        <v>39</v>
      </c>
      <c r="B23" s="123" t="s">
        <v>40</v>
      </c>
      <c r="C23" s="86">
        <v>300000</v>
      </c>
      <c r="D23" s="86">
        <v>53597.34</v>
      </c>
      <c r="E23" s="86">
        <v>345197.25</v>
      </c>
      <c r="F23" s="81">
        <f t="shared" si="0"/>
        <v>115.06575000000001</v>
      </c>
      <c r="G23" s="18"/>
    </row>
    <row r="24" spans="1:11" x14ac:dyDescent="0.15">
      <c r="A24" s="122" t="s">
        <v>41</v>
      </c>
      <c r="B24" s="123" t="s">
        <v>42</v>
      </c>
      <c r="C24" s="86">
        <v>1000</v>
      </c>
      <c r="D24" s="87">
        <v>0</v>
      </c>
      <c r="E24" s="87">
        <v>0</v>
      </c>
      <c r="F24" s="81">
        <f t="shared" si="0"/>
        <v>0</v>
      </c>
    </row>
    <row r="25" spans="1:11" x14ac:dyDescent="0.15">
      <c r="A25" s="122" t="s">
        <v>43</v>
      </c>
      <c r="B25" s="123" t="s">
        <v>44</v>
      </c>
      <c r="C25" s="86">
        <v>1000</v>
      </c>
      <c r="D25" s="87">
        <v>0</v>
      </c>
      <c r="E25" s="87">
        <v>0</v>
      </c>
      <c r="F25" s="81">
        <f t="shared" si="0"/>
        <v>0</v>
      </c>
    </row>
    <row r="26" spans="1:11" x14ac:dyDescent="0.15">
      <c r="A26" s="122">
        <v>71425</v>
      </c>
      <c r="B26" s="80" t="s">
        <v>101</v>
      </c>
      <c r="C26" s="86">
        <v>0</v>
      </c>
      <c r="D26" s="87">
        <v>0</v>
      </c>
      <c r="E26" s="87">
        <v>0</v>
      </c>
      <c r="F26" s="81">
        <v>0</v>
      </c>
    </row>
    <row r="27" spans="1:11" ht="18.75" customHeight="1" x14ac:dyDescent="0.15">
      <c r="A27" s="82" t="s">
        <v>45</v>
      </c>
      <c r="B27" s="80" t="s">
        <v>46</v>
      </c>
      <c r="C27" s="88">
        <v>70000</v>
      </c>
      <c r="D27" s="131">
        <v>688.05</v>
      </c>
      <c r="E27" s="131">
        <v>64694.17</v>
      </c>
      <c r="F27" s="81">
        <f t="shared" si="0"/>
        <v>92.420242857142853</v>
      </c>
    </row>
    <row r="28" spans="1:11" x14ac:dyDescent="0.15">
      <c r="A28" s="82" t="s">
        <v>102</v>
      </c>
      <c r="B28" s="80" t="s">
        <v>103</v>
      </c>
      <c r="C28" s="88">
        <v>0</v>
      </c>
      <c r="D28" s="87">
        <v>0</v>
      </c>
      <c r="E28" s="87">
        <v>0</v>
      </c>
      <c r="F28" s="81">
        <v>0</v>
      </c>
      <c r="G28" s="124"/>
    </row>
    <row r="29" spans="1:11" x14ac:dyDescent="0.15">
      <c r="A29" s="82" t="s">
        <v>47</v>
      </c>
      <c r="B29" s="80" t="s">
        <v>48</v>
      </c>
      <c r="C29" s="88">
        <v>0</v>
      </c>
      <c r="D29" s="87">
        <v>0</v>
      </c>
      <c r="E29" s="87">
        <v>0</v>
      </c>
      <c r="F29" s="81">
        <v>0</v>
      </c>
    </row>
    <row r="30" spans="1:11" x14ac:dyDescent="0.15">
      <c r="A30" s="82" t="s">
        <v>49</v>
      </c>
      <c r="B30" s="80" t="s">
        <v>50</v>
      </c>
      <c r="C30" s="86">
        <v>155000</v>
      </c>
      <c r="D30" s="142">
        <v>9215.36</v>
      </c>
      <c r="E30" s="142">
        <v>158402.85</v>
      </c>
      <c r="F30" s="153">
        <f t="shared" si="0"/>
        <v>102.1953870967742</v>
      </c>
      <c r="G30" s="143"/>
      <c r="H30" s="143"/>
      <c r="I30" s="143"/>
      <c r="J30" s="143"/>
      <c r="K30" s="143"/>
    </row>
    <row r="31" spans="1:11" x14ac:dyDescent="0.15">
      <c r="A31" s="82" t="s">
        <v>51</v>
      </c>
      <c r="B31" s="80" t="s">
        <v>52</v>
      </c>
      <c r="C31" s="86">
        <v>2000</v>
      </c>
      <c r="D31" s="142">
        <v>0</v>
      </c>
      <c r="E31" s="142">
        <v>24</v>
      </c>
      <c r="F31" s="153">
        <f t="shared" si="0"/>
        <v>1.2</v>
      </c>
      <c r="G31" s="143"/>
      <c r="H31" s="143"/>
      <c r="I31" s="143"/>
      <c r="J31" s="143"/>
      <c r="K31" s="143"/>
    </row>
    <row r="32" spans="1:11" x14ac:dyDescent="0.15">
      <c r="A32" s="79" t="s">
        <v>53</v>
      </c>
      <c r="B32" s="3" t="s">
        <v>54</v>
      </c>
      <c r="C32" s="85">
        <f>SUM(C33:C36)</f>
        <v>224000</v>
      </c>
      <c r="D32" s="146">
        <f>SUM(D33:D36)</f>
        <v>45292.450000000004</v>
      </c>
      <c r="E32" s="146">
        <f>SUM(E33:E36)</f>
        <v>185364.7</v>
      </c>
      <c r="F32" s="146">
        <f>E32/C32*100</f>
        <v>82.752098214285724</v>
      </c>
      <c r="G32" s="143"/>
      <c r="H32" s="143"/>
      <c r="I32" s="143"/>
      <c r="J32" s="143"/>
      <c r="K32" s="143"/>
    </row>
    <row r="33" spans="1:11" ht="21" x14ac:dyDescent="0.15">
      <c r="A33" s="122" t="s">
        <v>55</v>
      </c>
      <c r="B33" s="123" t="s">
        <v>56</v>
      </c>
      <c r="C33" s="86">
        <v>100000</v>
      </c>
      <c r="D33" s="148">
        <v>42290.51</v>
      </c>
      <c r="E33" s="148">
        <v>139965.6</v>
      </c>
      <c r="F33" s="153">
        <f t="shared" si="0"/>
        <v>139.96559999999999</v>
      </c>
      <c r="G33" s="143"/>
      <c r="H33" s="143"/>
      <c r="I33" s="143"/>
      <c r="J33" s="143"/>
      <c r="K33" s="143"/>
    </row>
    <row r="34" spans="1:11" x14ac:dyDescent="0.15">
      <c r="A34" s="122" t="s">
        <v>57</v>
      </c>
      <c r="B34" s="123" t="s">
        <v>58</v>
      </c>
      <c r="C34" s="86">
        <v>4000</v>
      </c>
      <c r="D34" s="148">
        <v>382.25</v>
      </c>
      <c r="E34" s="148">
        <v>2790.67</v>
      </c>
      <c r="F34" s="153">
        <f t="shared" si="0"/>
        <v>69.766750000000002</v>
      </c>
      <c r="G34" s="140"/>
      <c r="H34" s="143"/>
      <c r="I34" s="143"/>
      <c r="J34" s="143"/>
      <c r="K34" s="143"/>
    </row>
    <row r="35" spans="1:11" ht="21" x14ac:dyDescent="0.15">
      <c r="A35" s="122" t="s">
        <v>59</v>
      </c>
      <c r="B35" s="123" t="s">
        <v>60</v>
      </c>
      <c r="C35" s="86">
        <v>20000</v>
      </c>
      <c r="D35" s="154">
        <f>2297.9</f>
        <v>2297.9</v>
      </c>
      <c r="E35" s="154">
        <f>22705.8-256.23</f>
        <v>22449.57</v>
      </c>
      <c r="F35" s="153">
        <f t="shared" si="0"/>
        <v>112.24785</v>
      </c>
      <c r="G35" s="140"/>
      <c r="H35" s="140"/>
      <c r="I35" s="143"/>
      <c r="J35" s="143"/>
      <c r="K35" s="143"/>
    </row>
    <row r="36" spans="1:11" x14ac:dyDescent="0.15">
      <c r="A36" s="122" t="s">
        <v>61</v>
      </c>
      <c r="B36" s="123" t="s">
        <v>54</v>
      </c>
      <c r="C36" s="86">
        <v>100000</v>
      </c>
      <c r="D36" s="148">
        <v>321.79000000000002</v>
      </c>
      <c r="E36" s="148">
        <v>20158.86</v>
      </c>
      <c r="F36" s="153">
        <f t="shared" si="0"/>
        <v>20.158860000000001</v>
      </c>
      <c r="G36" s="143"/>
      <c r="H36" s="143"/>
      <c r="I36" s="143"/>
      <c r="J36" s="143"/>
      <c r="K36" s="143"/>
    </row>
    <row r="37" spans="1:11" ht="12" customHeight="1" x14ac:dyDescent="0.15">
      <c r="A37" s="79" t="s">
        <v>62</v>
      </c>
      <c r="B37" s="3" t="s">
        <v>63</v>
      </c>
      <c r="C37" s="85">
        <f>SUM(C40+C38)</f>
        <v>1020000</v>
      </c>
      <c r="D37" s="146">
        <f>SUM(D40+D38)</f>
        <v>10</v>
      </c>
      <c r="E37" s="146">
        <f>SUM(E40+E38)</f>
        <v>1010005.18</v>
      </c>
      <c r="F37" s="146">
        <f t="shared" si="0"/>
        <v>99.020115686274508</v>
      </c>
      <c r="G37" s="143"/>
      <c r="H37" s="143"/>
      <c r="I37" s="143"/>
      <c r="J37" s="143"/>
      <c r="K37" s="143"/>
    </row>
    <row r="38" spans="1:11" x14ac:dyDescent="0.15">
      <c r="A38" s="122" t="s">
        <v>64</v>
      </c>
      <c r="B38" s="123" t="s">
        <v>65</v>
      </c>
      <c r="C38" s="81">
        <f>SUM(C39)</f>
        <v>1020000</v>
      </c>
      <c r="D38" s="153">
        <f>SUM(D39)</f>
        <v>10</v>
      </c>
      <c r="E38" s="153">
        <f>SUM(E39)</f>
        <v>1010005.18</v>
      </c>
      <c r="F38" s="153">
        <f t="shared" si="0"/>
        <v>99.020115686274508</v>
      </c>
      <c r="G38" s="143"/>
      <c r="H38" s="143"/>
    </row>
    <row r="39" spans="1:11" x14ac:dyDescent="0.15">
      <c r="A39" s="122" t="s">
        <v>66</v>
      </c>
      <c r="B39" s="123" t="s">
        <v>67</v>
      </c>
      <c r="C39" s="88">
        <v>1020000</v>
      </c>
      <c r="D39" s="142">
        <v>10</v>
      </c>
      <c r="E39" s="142">
        <v>1010005.18</v>
      </c>
      <c r="F39" s="153">
        <f t="shared" si="0"/>
        <v>99.020115686274508</v>
      </c>
      <c r="G39" s="143"/>
      <c r="H39" s="143"/>
    </row>
    <row r="40" spans="1:11" x14ac:dyDescent="0.15">
      <c r="A40" s="122" t="s">
        <v>68</v>
      </c>
      <c r="B40" s="123" t="s">
        <v>69</v>
      </c>
      <c r="C40" s="88">
        <v>0</v>
      </c>
      <c r="D40" s="153">
        <v>0</v>
      </c>
      <c r="E40" s="155">
        <v>0</v>
      </c>
      <c r="F40" s="153">
        <v>0</v>
      </c>
      <c r="G40" s="143"/>
      <c r="H40" s="143"/>
    </row>
    <row r="41" spans="1:11" ht="21" x14ac:dyDescent="0.15">
      <c r="A41" s="79" t="s">
        <v>70</v>
      </c>
      <c r="B41" s="3" t="s">
        <v>71</v>
      </c>
      <c r="C41" s="85">
        <f>SUM(C42:C43)</f>
        <v>1190000</v>
      </c>
      <c r="D41" s="146">
        <f>SUM(D42:D43)</f>
        <v>4813.92</v>
      </c>
      <c r="E41" s="146">
        <f>SUM(E42:E43)</f>
        <v>1162199.5899999999</v>
      </c>
      <c r="F41" s="146">
        <f t="shared" si="0"/>
        <v>97.663831092436965</v>
      </c>
      <c r="G41" s="140"/>
      <c r="H41" s="143"/>
    </row>
    <row r="42" spans="1:11" x14ac:dyDescent="0.15">
      <c r="A42" s="122" t="s">
        <v>72</v>
      </c>
      <c r="B42" s="123" t="s">
        <v>73</v>
      </c>
      <c r="C42" s="88">
        <v>32000</v>
      </c>
      <c r="D42" s="155">
        <v>4813.92</v>
      </c>
      <c r="E42" s="155">
        <v>4813.92</v>
      </c>
      <c r="F42" s="153">
        <f t="shared" si="0"/>
        <v>15.043500000000002</v>
      </c>
      <c r="G42" s="143"/>
      <c r="H42" s="143"/>
    </row>
    <row r="43" spans="1:11" x14ac:dyDescent="0.15">
      <c r="A43" s="122" t="s">
        <v>74</v>
      </c>
      <c r="B43" s="123" t="s">
        <v>75</v>
      </c>
      <c r="C43" s="88">
        <v>1158000</v>
      </c>
      <c r="D43" s="86">
        <v>0</v>
      </c>
      <c r="E43" s="86">
        <v>1157385.67</v>
      </c>
      <c r="F43" s="81">
        <f t="shared" si="0"/>
        <v>99.94694905008636</v>
      </c>
    </row>
    <row r="44" spans="1:11" x14ac:dyDescent="0.15">
      <c r="A44" s="79" t="s">
        <v>76</v>
      </c>
      <c r="B44" s="3" t="s">
        <v>77</v>
      </c>
      <c r="C44" s="85">
        <f>SUM(C45,C48)</f>
        <v>5825000</v>
      </c>
      <c r="D44" s="71">
        <f>SUM(D45,D48)</f>
        <v>818057.52</v>
      </c>
      <c r="E44" s="71">
        <f>SUM(E45,E48)</f>
        <v>6015080.0099999998</v>
      </c>
      <c r="F44" s="71">
        <f t="shared" si="0"/>
        <v>103.26317613733904</v>
      </c>
    </row>
    <row r="45" spans="1:11" x14ac:dyDescent="0.15">
      <c r="A45" s="83" t="s">
        <v>78</v>
      </c>
      <c r="B45" s="3" t="s">
        <v>79</v>
      </c>
      <c r="C45" s="85">
        <f>SUM(C46:C47)</f>
        <v>100000</v>
      </c>
      <c r="D45" s="71">
        <f>+D46+D47</f>
        <v>0</v>
      </c>
      <c r="E45" s="71">
        <f>+E46+E47</f>
        <v>9511.7999999999993</v>
      </c>
      <c r="F45" s="81">
        <f t="shared" si="0"/>
        <v>9.5117999999999991</v>
      </c>
    </row>
    <row r="46" spans="1:11" x14ac:dyDescent="0.15">
      <c r="A46" s="122" t="s">
        <v>80</v>
      </c>
      <c r="B46" s="123" t="s">
        <v>81</v>
      </c>
      <c r="C46" s="88">
        <v>50000</v>
      </c>
      <c r="D46" s="86">
        <v>0</v>
      </c>
      <c r="E46" s="86">
        <v>0</v>
      </c>
      <c r="F46" s="81">
        <f t="shared" si="0"/>
        <v>0</v>
      </c>
    </row>
    <row r="47" spans="1:11" x14ac:dyDescent="0.15">
      <c r="A47" s="122" t="s">
        <v>82</v>
      </c>
      <c r="B47" s="123" t="s">
        <v>83</v>
      </c>
      <c r="C47" s="88">
        <v>50000</v>
      </c>
      <c r="D47" s="86">
        <v>0</v>
      </c>
      <c r="E47" s="86">
        <v>9511.7999999999993</v>
      </c>
      <c r="F47" s="81">
        <f t="shared" si="0"/>
        <v>19.023599999999998</v>
      </c>
    </row>
    <row r="48" spans="1:11" x14ac:dyDescent="0.15">
      <c r="A48" s="83" t="s">
        <v>84</v>
      </c>
      <c r="B48" s="3" t="s">
        <v>85</v>
      </c>
      <c r="C48" s="85">
        <f>SUM(C49:C51)</f>
        <v>5725000</v>
      </c>
      <c r="D48" s="71">
        <f>SUM(D49:D51)</f>
        <v>818057.52</v>
      </c>
      <c r="E48" s="71">
        <f>SUM(E49:E51)</f>
        <v>6005568.21</v>
      </c>
      <c r="F48" s="71">
        <f t="shared" si="0"/>
        <v>104.90075475982532</v>
      </c>
    </row>
    <row r="49" spans="1:7" x14ac:dyDescent="0.15">
      <c r="A49" s="122" t="s">
        <v>86</v>
      </c>
      <c r="B49" s="123" t="s">
        <v>87</v>
      </c>
      <c r="C49" s="88">
        <v>1500000</v>
      </c>
      <c r="D49" s="86">
        <v>293037.7</v>
      </c>
      <c r="E49" s="86">
        <v>1603959.9</v>
      </c>
      <c r="F49" s="81">
        <f t="shared" si="0"/>
        <v>106.93066</v>
      </c>
    </row>
    <row r="50" spans="1:7" x14ac:dyDescent="0.15">
      <c r="A50" s="122" t="s">
        <v>88</v>
      </c>
      <c r="B50" s="123" t="s">
        <v>89</v>
      </c>
      <c r="C50" s="88">
        <v>45000</v>
      </c>
      <c r="D50" s="86">
        <v>0</v>
      </c>
      <c r="E50" s="86">
        <v>33349.910000000003</v>
      </c>
      <c r="F50" s="81">
        <f t="shared" si="0"/>
        <v>74.110911111111122</v>
      </c>
    </row>
    <row r="51" spans="1:7" x14ac:dyDescent="0.15">
      <c r="A51" s="122" t="s">
        <v>90</v>
      </c>
      <c r="B51" s="123" t="s">
        <v>91</v>
      </c>
      <c r="C51" s="88">
        <v>4180000</v>
      </c>
      <c r="D51" s="86">
        <v>525019.81999999995</v>
      </c>
      <c r="E51" s="86">
        <v>4368258.4000000004</v>
      </c>
      <c r="F51" s="81">
        <f t="shared" si="0"/>
        <v>104.50378947368422</v>
      </c>
    </row>
    <row r="52" spans="1:7" x14ac:dyDescent="0.15">
      <c r="A52" s="79" t="s">
        <v>92</v>
      </c>
      <c r="B52" s="3" t="s">
        <v>93</v>
      </c>
      <c r="C52" s="85">
        <f>SUM(C53)</f>
        <v>1000</v>
      </c>
      <c r="D52" s="71">
        <f>SUM(D53)</f>
        <v>0</v>
      </c>
      <c r="E52" s="71">
        <f>SUM(E53)</f>
        <v>0</v>
      </c>
      <c r="F52" s="71">
        <f t="shared" si="0"/>
        <v>0</v>
      </c>
    </row>
    <row r="53" spans="1:7" x14ac:dyDescent="0.15">
      <c r="A53" s="122" t="s">
        <v>94</v>
      </c>
      <c r="B53" s="123" t="s">
        <v>93</v>
      </c>
      <c r="C53" s="88">
        <f>SUM(C54+C57)</f>
        <v>1000</v>
      </c>
      <c r="D53" s="81">
        <v>0</v>
      </c>
      <c r="E53" s="88">
        <v>0</v>
      </c>
      <c r="F53" s="81">
        <f t="shared" si="0"/>
        <v>0</v>
      </c>
    </row>
    <row r="54" spans="1:7" x14ac:dyDescent="0.15">
      <c r="A54" s="122" t="s">
        <v>95</v>
      </c>
      <c r="B54" s="123" t="s">
        <v>96</v>
      </c>
      <c r="C54" s="88">
        <f>SUM(C55:C56)</f>
        <v>1000</v>
      </c>
      <c r="D54" s="88">
        <f>SUM(D55:D56)</f>
        <v>0</v>
      </c>
      <c r="E54" s="88">
        <f>SUM(E55:E56)</f>
        <v>0</v>
      </c>
      <c r="F54" s="81">
        <f t="shared" si="0"/>
        <v>0</v>
      </c>
    </row>
    <row r="55" spans="1:7" x14ac:dyDescent="0.15">
      <c r="A55" s="82" t="s">
        <v>104</v>
      </c>
      <c r="B55" s="80" t="s">
        <v>106</v>
      </c>
      <c r="C55" s="88">
        <v>1000</v>
      </c>
      <c r="D55" s="81">
        <v>0</v>
      </c>
      <c r="E55" s="88">
        <v>0</v>
      </c>
      <c r="F55" s="81">
        <v>0</v>
      </c>
    </row>
    <row r="56" spans="1:7" x14ac:dyDescent="0.15">
      <c r="A56" s="82" t="s">
        <v>105</v>
      </c>
      <c r="B56" s="80" t="s">
        <v>107</v>
      </c>
      <c r="C56" s="88">
        <v>0</v>
      </c>
      <c r="D56" s="81">
        <v>0</v>
      </c>
      <c r="E56" s="88">
        <v>0</v>
      </c>
      <c r="F56" s="81">
        <v>0</v>
      </c>
    </row>
    <row r="57" spans="1:7" x14ac:dyDescent="0.15">
      <c r="A57" s="122" t="s">
        <v>97</v>
      </c>
      <c r="B57" s="123" t="s">
        <v>98</v>
      </c>
      <c r="C57" s="88">
        <v>0</v>
      </c>
      <c r="D57" s="81">
        <v>0</v>
      </c>
      <c r="E57" s="88">
        <v>0</v>
      </c>
      <c r="F57" s="81">
        <v>0</v>
      </c>
    </row>
    <row r="58" spans="1:7" ht="15.75" customHeight="1" x14ac:dyDescent="0.15">
      <c r="A58" s="79" t="s">
        <v>99</v>
      </c>
      <c r="B58" s="3" t="s">
        <v>100</v>
      </c>
      <c r="C58" s="85">
        <f>SUM(C6,C37,C41,C44,C52)</f>
        <v>14300000</v>
      </c>
      <c r="D58" s="85">
        <f t="shared" ref="D58" si="2">SUM(D6,D37,D41,D44,D52)</f>
        <v>1823078.6600000001</v>
      </c>
      <c r="E58" s="152">
        <f>SUM(E6,E37,E41,E44,E52)</f>
        <v>14740241.569999998</v>
      </c>
      <c r="F58" s="146">
        <f>E58/C58*100</f>
        <v>103.07861237762236</v>
      </c>
      <c r="G58" s="140"/>
    </row>
    <row r="60" spans="1:7" x14ac:dyDescent="0.15">
      <c r="D60" s="125"/>
      <c r="E60" s="125"/>
    </row>
    <row r="62" spans="1:7" x14ac:dyDescent="0.15">
      <c r="D62" s="125"/>
      <c r="E62" s="18"/>
      <c r="F62" s="17"/>
    </row>
    <row r="63" spans="1:7" x14ac:dyDescent="0.15">
      <c r="D63" s="125"/>
      <c r="E63" s="18"/>
    </row>
    <row r="65" spans="1:7" x14ac:dyDescent="0.15">
      <c r="A65" s="50"/>
      <c r="B65" s="46"/>
      <c r="C65" s="46"/>
      <c r="D65" s="46"/>
      <c r="E65" s="46"/>
      <c r="F65" s="17"/>
      <c r="G65" s="46"/>
    </row>
    <row r="66" spans="1:7" x14ac:dyDescent="0.15">
      <c r="A66" s="50"/>
      <c r="B66" s="46"/>
      <c r="C66" s="46"/>
      <c r="D66" s="46"/>
      <c r="E66" s="46"/>
      <c r="G66" s="46"/>
    </row>
  </sheetData>
  <mergeCells count="2">
    <mergeCell ref="E2:F2"/>
    <mergeCell ref="A4:F4"/>
  </mergeCells>
  <pageMargins left="0.70866141732283472" right="0.70866141732283472" top="0.74803149606299213" bottom="0.74803149606299213" header="0.31496062992125984" footer="0.31496062992125984"/>
  <pageSetup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4"/>
  <sheetViews>
    <sheetView topLeftCell="A130" zoomScaleNormal="100" workbookViewId="0">
      <selection activeCell="G5" sqref="G5:G13"/>
    </sheetView>
  </sheetViews>
  <sheetFormatPr defaultColWidth="9.140625" defaultRowHeight="10.5" x14ac:dyDescent="0.15"/>
  <cols>
    <col min="1" max="1" width="9" style="1" customWidth="1"/>
    <col min="2" max="2" width="36" style="1" customWidth="1"/>
    <col min="3" max="3" width="12.140625" style="1" customWidth="1"/>
    <col min="4" max="4" width="11.5703125" style="1" customWidth="1"/>
    <col min="5" max="5" width="16" style="1" customWidth="1"/>
    <col min="6" max="6" width="8.42578125" style="1" customWidth="1"/>
    <col min="7" max="7" width="9.140625" style="1"/>
    <col min="8" max="8" width="11.28515625" style="1" bestFit="1" customWidth="1"/>
    <col min="9" max="16384" width="9.140625" style="1"/>
  </cols>
  <sheetData>
    <row r="1" spans="1:10" ht="11.25" thickBot="1" x14ac:dyDescent="0.2"/>
    <row r="2" spans="1:10" ht="18.75" customHeight="1" thickBot="1" x14ac:dyDescent="0.2">
      <c r="E2" s="156" t="s">
        <v>307</v>
      </c>
      <c r="F2" s="156" t="s">
        <v>307</v>
      </c>
    </row>
    <row r="3" spans="1:10" ht="11.25" thickBot="1" x14ac:dyDescent="0.2"/>
    <row r="4" spans="1:10" ht="26.45" customHeight="1" x14ac:dyDescent="0.15">
      <c r="A4" s="160" t="s">
        <v>1</v>
      </c>
      <c r="B4" s="161" t="s">
        <v>1</v>
      </c>
      <c r="C4" s="161" t="s">
        <v>1</v>
      </c>
      <c r="D4" s="161" t="s">
        <v>1</v>
      </c>
      <c r="E4" s="161" t="s">
        <v>1</v>
      </c>
      <c r="F4" s="162" t="s">
        <v>1</v>
      </c>
    </row>
    <row r="5" spans="1:10" ht="56.25" customHeight="1" x14ac:dyDescent="0.15">
      <c r="A5" s="14" t="s">
        <v>306</v>
      </c>
      <c r="B5" s="2" t="s">
        <v>305</v>
      </c>
      <c r="C5" s="2" t="s">
        <v>3</v>
      </c>
      <c r="D5" s="2" t="s">
        <v>380</v>
      </c>
      <c r="E5" s="2" t="s">
        <v>381</v>
      </c>
      <c r="F5" s="6" t="s">
        <v>304</v>
      </c>
    </row>
    <row r="6" spans="1:10" s="12" customFormat="1" x14ac:dyDescent="0.15">
      <c r="A6" s="14" t="s">
        <v>303</v>
      </c>
      <c r="B6" s="3" t="s">
        <v>301</v>
      </c>
      <c r="C6" s="71">
        <f>SUM(C7,C59:C60)</f>
        <v>9692900</v>
      </c>
      <c r="D6" s="146">
        <f>SUM(D7,D59:D60)</f>
        <v>1849827.92</v>
      </c>
      <c r="E6" s="146">
        <f>SUM(E7,E59:E60)</f>
        <v>8961253.5099999998</v>
      </c>
      <c r="F6" s="150">
        <f>E6/C6*100</f>
        <v>92.451727656325772</v>
      </c>
      <c r="G6" s="140"/>
      <c r="H6" s="73"/>
    </row>
    <row r="7" spans="1:10" s="12" customFormat="1" x14ac:dyDescent="0.15">
      <c r="A7" s="14" t="s">
        <v>302</v>
      </c>
      <c r="B7" s="3" t="s">
        <v>301</v>
      </c>
      <c r="C7" s="71">
        <f>SUM(C8,C14,C22,C29,C39,C43,C46,C50,C51)</f>
        <v>4390500</v>
      </c>
      <c r="D7" s="146">
        <f>SUM(D8,D14,D22,D29,D39,D43,D46,D50,D51)</f>
        <v>983475.58999999985</v>
      </c>
      <c r="E7" s="146">
        <f>SUM(E8,E14,E22,E29,E39,E43,E46,E50,E51)</f>
        <v>3851841.5400000005</v>
      </c>
      <c r="F7" s="150">
        <f t="shared" ref="F7:F14" si="0">E7/C7*100</f>
        <v>87.731272975743096</v>
      </c>
      <c r="G7" s="140"/>
    </row>
    <row r="8" spans="1:10" x14ac:dyDescent="0.15">
      <c r="A8" s="14" t="s">
        <v>300</v>
      </c>
      <c r="B8" s="3" t="s">
        <v>129</v>
      </c>
      <c r="C8" s="71">
        <f>SUM(C9:C13)</f>
        <v>2942050</v>
      </c>
      <c r="D8" s="146">
        <f>SUM(D9:D13)</f>
        <v>745751.57</v>
      </c>
      <c r="E8" s="146">
        <f>SUM(E9:E13)</f>
        <v>2763871.0900000003</v>
      </c>
      <c r="F8" s="150">
        <f t="shared" si="0"/>
        <v>93.943715776414422</v>
      </c>
      <c r="G8" s="143"/>
    </row>
    <row r="9" spans="1:10" x14ac:dyDescent="0.15">
      <c r="A9" s="126" t="s">
        <v>299</v>
      </c>
      <c r="B9" s="123" t="s">
        <v>298</v>
      </c>
      <c r="C9" s="86">
        <v>2786518</v>
      </c>
      <c r="D9" s="148">
        <f>731298.63-60</f>
        <v>731238.63</v>
      </c>
      <c r="E9" s="148">
        <v>2737842.65</v>
      </c>
      <c r="F9" s="151">
        <f t="shared" si="0"/>
        <v>98.253183722480884</v>
      </c>
      <c r="G9" s="143"/>
      <c r="J9" s="18"/>
    </row>
    <row r="10" spans="1:10" x14ac:dyDescent="0.15">
      <c r="A10" s="126" t="s">
        <v>297</v>
      </c>
      <c r="B10" s="123" t="s">
        <v>296</v>
      </c>
      <c r="C10" s="86">
        <v>17994</v>
      </c>
      <c r="D10" s="86">
        <v>0</v>
      </c>
      <c r="E10" s="86">
        <v>883.66</v>
      </c>
      <c r="F10" s="8">
        <f t="shared" si="0"/>
        <v>4.910859175280649</v>
      </c>
      <c r="J10" s="18"/>
    </row>
    <row r="11" spans="1:10" x14ac:dyDescent="0.15">
      <c r="A11" s="126" t="s">
        <v>295</v>
      </c>
      <c r="B11" s="123" t="s">
        <v>294</v>
      </c>
      <c r="C11" s="86">
        <v>86480</v>
      </c>
      <c r="D11" s="86">
        <v>0</v>
      </c>
      <c r="E11" s="86">
        <v>5129.92</v>
      </c>
      <c r="F11" s="8">
        <f t="shared" si="0"/>
        <v>5.9319148936170212</v>
      </c>
      <c r="J11" s="18"/>
    </row>
    <row r="12" spans="1:10" x14ac:dyDescent="0.15">
      <c r="A12" s="126" t="s">
        <v>293</v>
      </c>
      <c r="B12" s="123" t="s">
        <v>292</v>
      </c>
      <c r="C12" s="86">
        <v>36728</v>
      </c>
      <c r="D12" s="86">
        <v>1190.2</v>
      </c>
      <c r="E12" s="86">
        <v>6692.12</v>
      </c>
      <c r="F12" s="8">
        <f t="shared" si="0"/>
        <v>18.220758004791985</v>
      </c>
      <c r="J12" s="18"/>
    </row>
    <row r="13" spans="1:10" x14ac:dyDescent="0.15">
      <c r="A13" s="126" t="s">
        <v>291</v>
      </c>
      <c r="B13" s="123" t="s">
        <v>290</v>
      </c>
      <c r="C13" s="86">
        <v>14330</v>
      </c>
      <c r="D13" s="86">
        <v>13322.74</v>
      </c>
      <c r="E13" s="86">
        <v>13322.74</v>
      </c>
      <c r="F13" s="8">
        <f t="shared" si="0"/>
        <v>92.97096999302164</v>
      </c>
      <c r="J13" s="18"/>
    </row>
    <row r="14" spans="1:10" s="12" customFormat="1" x14ac:dyDescent="0.15">
      <c r="A14" s="14" t="s">
        <v>289</v>
      </c>
      <c r="B14" s="3" t="s">
        <v>122</v>
      </c>
      <c r="C14" s="71">
        <f>SUM(C15:C21)</f>
        <v>119300</v>
      </c>
      <c r="D14" s="71">
        <f>SUM(D15:D21)</f>
        <v>24701</v>
      </c>
      <c r="E14" s="71">
        <f>SUM(E15:E21)</f>
        <v>102349.9</v>
      </c>
      <c r="F14" s="16">
        <f t="shared" si="0"/>
        <v>85.792036881810546</v>
      </c>
      <c r="J14" s="18"/>
    </row>
    <row r="15" spans="1:10" x14ac:dyDescent="0.15">
      <c r="A15" s="126" t="s">
        <v>288</v>
      </c>
      <c r="B15" s="123" t="s">
        <v>287</v>
      </c>
      <c r="C15" s="86">
        <v>0</v>
      </c>
      <c r="D15" s="86">
        <v>0</v>
      </c>
      <c r="E15" s="86">
        <v>0</v>
      </c>
      <c r="F15" s="8">
        <v>0</v>
      </c>
      <c r="J15" s="18"/>
    </row>
    <row r="16" spans="1:10" x14ac:dyDescent="0.15">
      <c r="A16" s="126" t="s">
        <v>286</v>
      </c>
      <c r="B16" s="123" t="s">
        <v>285</v>
      </c>
      <c r="C16" s="86">
        <v>0</v>
      </c>
      <c r="D16" s="86">
        <v>0</v>
      </c>
      <c r="E16" s="86">
        <v>0</v>
      </c>
      <c r="F16" s="8">
        <v>0</v>
      </c>
      <c r="J16" s="18"/>
    </row>
    <row r="17" spans="1:10" x14ac:dyDescent="0.15">
      <c r="A17" s="126" t="s">
        <v>284</v>
      </c>
      <c r="B17" s="123" t="s">
        <v>283</v>
      </c>
      <c r="C17" s="86">
        <v>0</v>
      </c>
      <c r="D17" s="86">
        <v>0</v>
      </c>
      <c r="E17" s="86">
        <v>0</v>
      </c>
      <c r="F17" s="8">
        <v>0</v>
      </c>
      <c r="J17" s="18"/>
    </row>
    <row r="18" spans="1:10" x14ac:dyDescent="0.15">
      <c r="A18" s="126" t="s">
        <v>282</v>
      </c>
      <c r="B18" s="123" t="s">
        <v>281</v>
      </c>
      <c r="C18" s="86">
        <v>0</v>
      </c>
      <c r="D18" s="86">
        <v>0</v>
      </c>
      <c r="E18" s="86">
        <v>0</v>
      </c>
      <c r="F18" s="8">
        <v>0</v>
      </c>
      <c r="J18" s="18"/>
    </row>
    <row r="19" spans="1:10" x14ac:dyDescent="0.15">
      <c r="A19" s="126" t="s">
        <v>280</v>
      </c>
      <c r="B19" s="123" t="s">
        <v>279</v>
      </c>
      <c r="C19" s="86">
        <v>10800</v>
      </c>
      <c r="D19" s="86">
        <v>1530</v>
      </c>
      <c r="E19" s="86">
        <v>10710</v>
      </c>
      <c r="F19" s="8">
        <v>0</v>
      </c>
      <c r="J19" s="18"/>
    </row>
    <row r="20" spans="1:10" x14ac:dyDescent="0.15">
      <c r="A20" s="126" t="s">
        <v>278</v>
      </c>
      <c r="B20" s="123" t="s">
        <v>277</v>
      </c>
      <c r="C20" s="86">
        <v>61000</v>
      </c>
      <c r="D20" s="86">
        <v>14903</v>
      </c>
      <c r="E20" s="86">
        <v>60403</v>
      </c>
      <c r="F20" s="8">
        <f>E20/C20*100</f>
        <v>99.021311475409831</v>
      </c>
      <c r="J20" s="18"/>
    </row>
    <row r="21" spans="1:10" x14ac:dyDescent="0.15">
      <c r="A21" s="126" t="s">
        <v>276</v>
      </c>
      <c r="B21" s="123" t="s">
        <v>52</v>
      </c>
      <c r="C21" s="86">
        <v>47500</v>
      </c>
      <c r="D21" s="86">
        <v>8268</v>
      </c>
      <c r="E21" s="86">
        <v>31236.9</v>
      </c>
      <c r="F21" s="8">
        <f>E21/C21*100</f>
        <v>65.761894736842109</v>
      </c>
      <c r="J21" s="18"/>
    </row>
    <row r="22" spans="1:10" s="12" customFormat="1" x14ac:dyDescent="0.15">
      <c r="A22" s="14" t="s">
        <v>275</v>
      </c>
      <c r="B22" s="3" t="s">
        <v>121</v>
      </c>
      <c r="C22" s="71">
        <f>SUM(C23:C28)</f>
        <v>161500</v>
      </c>
      <c r="D22" s="71">
        <f>SUM(D23:D28)</f>
        <v>21780.769999999997</v>
      </c>
      <c r="E22" s="71">
        <f>SUM(E23:E28)</f>
        <v>111607.31999999999</v>
      </c>
      <c r="F22" s="16">
        <f>E22/C22*100</f>
        <v>69.106699690402479</v>
      </c>
      <c r="J22" s="18"/>
    </row>
    <row r="23" spans="1:10" x14ac:dyDescent="0.15">
      <c r="A23" s="126" t="s">
        <v>274</v>
      </c>
      <c r="B23" s="123" t="s">
        <v>273</v>
      </c>
      <c r="C23" s="86">
        <v>25000</v>
      </c>
      <c r="D23" s="86">
        <v>1520.8</v>
      </c>
      <c r="E23" s="86">
        <v>9263.76</v>
      </c>
      <c r="F23" s="8">
        <f>E23/C23*100</f>
        <v>37.055039999999998</v>
      </c>
      <c r="J23" s="18"/>
    </row>
    <row r="24" spans="1:10" x14ac:dyDescent="0.15">
      <c r="A24" s="126" t="s">
        <v>272</v>
      </c>
      <c r="B24" s="123" t="s">
        <v>271</v>
      </c>
      <c r="C24" s="86">
        <v>0</v>
      </c>
      <c r="D24" s="86">
        <v>0</v>
      </c>
      <c r="E24" s="86">
        <v>0</v>
      </c>
      <c r="F24" s="8">
        <v>0</v>
      </c>
      <c r="J24" s="18"/>
    </row>
    <row r="25" spans="1:10" x14ac:dyDescent="0.15">
      <c r="A25" s="126" t="s">
        <v>270</v>
      </c>
      <c r="B25" s="123" t="s">
        <v>269</v>
      </c>
      <c r="C25" s="86">
        <f>9200+7300</f>
        <v>16500</v>
      </c>
      <c r="D25" s="86">
        <v>9924.74</v>
      </c>
      <c r="E25" s="86">
        <v>14574.43</v>
      </c>
      <c r="F25" s="8">
        <f t="shared" ref="F25:F33" si="1">E25/C25*100</f>
        <v>88.329878787878783</v>
      </c>
      <c r="J25" s="18"/>
    </row>
    <row r="26" spans="1:10" x14ac:dyDescent="0.15">
      <c r="A26" s="126" t="s">
        <v>268</v>
      </c>
      <c r="B26" s="123" t="s">
        <v>267</v>
      </c>
      <c r="C26" s="86">
        <v>49000</v>
      </c>
      <c r="D26" s="86">
        <v>10335.23</v>
      </c>
      <c r="E26" s="86">
        <v>32819.33</v>
      </c>
      <c r="F26" s="8">
        <f t="shared" si="1"/>
        <v>66.97822448979592</v>
      </c>
      <c r="G26" s="143"/>
      <c r="H26" s="143"/>
      <c r="J26" s="18"/>
    </row>
    <row r="27" spans="1:10" x14ac:dyDescent="0.15">
      <c r="A27" s="126" t="s">
        <v>266</v>
      </c>
      <c r="B27" s="123" t="s">
        <v>265</v>
      </c>
      <c r="C27" s="86">
        <v>70000</v>
      </c>
      <c r="D27" s="86">
        <v>0</v>
      </c>
      <c r="E27" s="86">
        <v>54842.07</v>
      </c>
      <c r="F27" s="8">
        <f t="shared" si="1"/>
        <v>78.345814285714283</v>
      </c>
      <c r="G27" s="143"/>
      <c r="H27" s="143"/>
    </row>
    <row r="28" spans="1:10" x14ac:dyDescent="0.15">
      <c r="A28" s="126" t="s">
        <v>264</v>
      </c>
      <c r="B28" s="123" t="s">
        <v>263</v>
      </c>
      <c r="C28" s="86">
        <v>1000</v>
      </c>
      <c r="D28" s="86">
        <v>0</v>
      </c>
      <c r="E28" s="86">
        <v>107.73</v>
      </c>
      <c r="F28" s="8">
        <f t="shared" si="1"/>
        <v>10.773000000000001</v>
      </c>
      <c r="G28" s="143"/>
      <c r="H28" s="143"/>
    </row>
    <row r="29" spans="1:10" s="12" customFormat="1" x14ac:dyDescent="0.15">
      <c r="A29" s="14" t="s">
        <v>262</v>
      </c>
      <c r="B29" s="3" t="s">
        <v>120</v>
      </c>
      <c r="C29" s="71">
        <f>SUM(C30:C38)</f>
        <v>549050</v>
      </c>
      <c r="D29" s="146">
        <f>SUM(D30:D38)</f>
        <v>51571.32</v>
      </c>
      <c r="E29" s="146">
        <f>SUM(E30:E38)</f>
        <v>347200.31000000006</v>
      </c>
      <c r="F29" s="150">
        <f t="shared" si="1"/>
        <v>63.236555869228681</v>
      </c>
      <c r="G29" s="144"/>
      <c r="H29" s="144"/>
      <c r="J29" s="73"/>
    </row>
    <row r="30" spans="1:10" x14ac:dyDescent="0.15">
      <c r="A30" s="126" t="s">
        <v>261</v>
      </c>
      <c r="B30" s="123" t="s">
        <v>260</v>
      </c>
      <c r="C30" s="86">
        <v>36950</v>
      </c>
      <c r="D30" s="148">
        <v>1977</v>
      </c>
      <c r="E30" s="148">
        <v>25179.72</v>
      </c>
      <c r="F30" s="151">
        <f t="shared" si="1"/>
        <v>68.145385656292291</v>
      </c>
      <c r="G30" s="143"/>
      <c r="H30" s="143"/>
    </row>
    <row r="31" spans="1:10" x14ac:dyDescent="0.15">
      <c r="A31" s="126" t="s">
        <v>259</v>
      </c>
      <c r="B31" s="123" t="s">
        <v>258</v>
      </c>
      <c r="C31" s="86">
        <v>10500</v>
      </c>
      <c r="D31" s="148">
        <v>883.3</v>
      </c>
      <c r="E31" s="148">
        <v>7846.79</v>
      </c>
      <c r="F31" s="151">
        <f t="shared" si="1"/>
        <v>74.731333333333339</v>
      </c>
      <c r="G31" s="143"/>
      <c r="H31" s="143"/>
    </row>
    <row r="32" spans="1:10" x14ac:dyDescent="0.15">
      <c r="A32" s="126" t="s">
        <v>257</v>
      </c>
      <c r="B32" s="123" t="s">
        <v>256</v>
      </c>
      <c r="C32" s="86">
        <f>12000+10200</f>
        <v>22200</v>
      </c>
      <c r="D32" s="148">
        <v>12441.98</v>
      </c>
      <c r="E32" s="148">
        <v>22091.82</v>
      </c>
      <c r="F32" s="151">
        <f t="shared" si="1"/>
        <v>99.512702702702711</v>
      </c>
      <c r="G32" s="143"/>
      <c r="H32" s="143"/>
    </row>
    <row r="33" spans="1:10" x14ac:dyDescent="0.15">
      <c r="A33" s="126" t="s">
        <v>255</v>
      </c>
      <c r="B33" s="123" t="s">
        <v>254</v>
      </c>
      <c r="C33" s="86">
        <f>9000+1200</f>
        <v>10200</v>
      </c>
      <c r="D33" s="148">
        <f>2092.84+10+5.57</f>
        <v>2108.4100000000003</v>
      </c>
      <c r="E33" s="148">
        <f>10096.2+10+5.57</f>
        <v>10111.77</v>
      </c>
      <c r="F33" s="151">
        <f t="shared" si="1"/>
        <v>99.135000000000005</v>
      </c>
      <c r="G33" s="143"/>
      <c r="H33" s="143"/>
    </row>
    <row r="34" spans="1:10" x14ac:dyDescent="0.15">
      <c r="A34" s="126" t="s">
        <v>253</v>
      </c>
      <c r="B34" s="123" t="s">
        <v>252</v>
      </c>
      <c r="C34" s="86">
        <v>0</v>
      </c>
      <c r="D34" s="148">
        <v>0</v>
      </c>
      <c r="E34" s="148">
        <v>0</v>
      </c>
      <c r="F34" s="151">
        <v>0</v>
      </c>
      <c r="G34" s="143"/>
      <c r="H34" s="143"/>
    </row>
    <row r="35" spans="1:10" x14ac:dyDescent="0.15">
      <c r="A35" s="126" t="s">
        <v>251</v>
      </c>
      <c r="B35" s="123" t="s">
        <v>250</v>
      </c>
      <c r="C35" s="86">
        <v>1000</v>
      </c>
      <c r="D35" s="86">
        <v>171.82</v>
      </c>
      <c r="E35" s="86">
        <v>793.92</v>
      </c>
      <c r="F35" s="8">
        <v>0</v>
      </c>
      <c r="G35" s="143"/>
      <c r="H35" s="143"/>
      <c r="J35" s="18"/>
    </row>
    <row r="36" spans="1:10" x14ac:dyDescent="0.15">
      <c r="A36" s="126" t="s">
        <v>249</v>
      </c>
      <c r="B36" s="123" t="s">
        <v>248</v>
      </c>
      <c r="C36" s="86">
        <f>569000-187100</f>
        <v>381900</v>
      </c>
      <c r="D36" s="86">
        <v>12683.75</v>
      </c>
      <c r="E36" s="86">
        <v>234967.89</v>
      </c>
      <c r="F36" s="8">
        <f>E36/C36*100</f>
        <v>61.52602513747054</v>
      </c>
      <c r="G36" s="143"/>
      <c r="H36" s="143"/>
      <c r="J36" s="18"/>
    </row>
    <row r="37" spans="1:10" x14ac:dyDescent="0.15">
      <c r="A37" s="126" t="s">
        <v>247</v>
      </c>
      <c r="B37" s="123" t="s">
        <v>246</v>
      </c>
      <c r="C37" s="86">
        <v>2000</v>
      </c>
      <c r="D37" s="86">
        <v>0</v>
      </c>
      <c r="E37" s="86">
        <v>0</v>
      </c>
      <c r="F37" s="8">
        <v>0</v>
      </c>
      <c r="G37" s="143"/>
      <c r="H37" s="143"/>
      <c r="J37" s="18"/>
    </row>
    <row r="38" spans="1:10" x14ac:dyDescent="0.15">
      <c r="A38" s="126" t="s">
        <v>245</v>
      </c>
      <c r="B38" s="123" t="s">
        <v>244</v>
      </c>
      <c r="C38" s="86">
        <f>82100+500+1700</f>
        <v>84300</v>
      </c>
      <c r="D38" s="86">
        <v>21305.06</v>
      </c>
      <c r="E38" s="86">
        <v>46208.4</v>
      </c>
      <c r="F38" s="8">
        <f>E38/C38*100</f>
        <v>54.814234875444846</v>
      </c>
      <c r="G38" s="143"/>
      <c r="H38" s="143"/>
      <c r="J38" s="18"/>
    </row>
    <row r="39" spans="1:10" s="12" customFormat="1" x14ac:dyDescent="0.15">
      <c r="A39" s="14" t="s">
        <v>243</v>
      </c>
      <c r="B39" s="3" t="s">
        <v>119</v>
      </c>
      <c r="C39" s="71">
        <f>SUM(C40:C42)</f>
        <v>53500</v>
      </c>
      <c r="D39" s="71">
        <f>SUM(D40:D42)</f>
        <v>9036.91</v>
      </c>
      <c r="E39" s="71">
        <f>SUM(E40:E42)</f>
        <v>25039.52</v>
      </c>
      <c r="F39" s="16">
        <f>E39/C39*100</f>
        <v>46.802841121495327</v>
      </c>
      <c r="G39" s="144"/>
      <c r="H39" s="144"/>
    </row>
    <row r="40" spans="1:10" x14ac:dyDescent="0.15">
      <c r="A40" s="126" t="s">
        <v>242</v>
      </c>
      <c r="B40" s="123" t="s">
        <v>241</v>
      </c>
      <c r="C40" s="86">
        <v>0</v>
      </c>
      <c r="D40" s="86">
        <v>0</v>
      </c>
      <c r="E40" s="86">
        <v>0</v>
      </c>
      <c r="F40" s="8">
        <v>0</v>
      </c>
      <c r="G40" s="143"/>
      <c r="H40" s="143"/>
    </row>
    <row r="41" spans="1:10" x14ac:dyDescent="0.15">
      <c r="A41" s="126" t="s">
        <v>240</v>
      </c>
      <c r="B41" s="123" t="s">
        <v>239</v>
      </c>
      <c r="C41" s="86">
        <v>0</v>
      </c>
      <c r="D41" s="86">
        <v>0</v>
      </c>
      <c r="E41" s="86">
        <v>0</v>
      </c>
      <c r="F41" s="8">
        <v>0</v>
      </c>
    </row>
    <row r="42" spans="1:10" x14ac:dyDescent="0.15">
      <c r="A42" s="126" t="s">
        <v>238</v>
      </c>
      <c r="B42" s="123" t="s">
        <v>237</v>
      </c>
      <c r="C42" s="86">
        <v>53500</v>
      </c>
      <c r="D42" s="86">
        <v>9036.91</v>
      </c>
      <c r="E42" s="86">
        <v>25039.52</v>
      </c>
      <c r="F42" s="8">
        <v>0</v>
      </c>
    </row>
    <row r="43" spans="1:10" s="12" customFormat="1" x14ac:dyDescent="0.15">
      <c r="A43" s="14" t="s">
        <v>236</v>
      </c>
      <c r="B43" s="3" t="s">
        <v>118</v>
      </c>
      <c r="C43" s="71">
        <f>+C44+C45</f>
        <v>52200</v>
      </c>
      <c r="D43" s="71">
        <f>+D44+D45</f>
        <v>25143.7</v>
      </c>
      <c r="E43" s="71">
        <f>+E44+E45</f>
        <v>52110.85</v>
      </c>
      <c r="F43" s="16">
        <f>E43/C43*100</f>
        <v>99.829214559386969</v>
      </c>
    </row>
    <row r="44" spans="1:10" x14ac:dyDescent="0.15">
      <c r="A44" s="126" t="s">
        <v>235</v>
      </c>
      <c r="B44" s="123" t="s">
        <v>234</v>
      </c>
      <c r="C44" s="86">
        <f>35000+17200</f>
        <v>52200</v>
      </c>
      <c r="D44" s="86">
        <v>25143.7</v>
      </c>
      <c r="E44" s="86">
        <v>52110.85</v>
      </c>
      <c r="F44" s="8">
        <f>E44/C44*100</f>
        <v>99.829214559386969</v>
      </c>
    </row>
    <row r="45" spans="1:10" x14ac:dyDescent="0.15">
      <c r="A45" s="126" t="s">
        <v>233</v>
      </c>
      <c r="B45" s="123" t="s">
        <v>232</v>
      </c>
      <c r="C45" s="86">
        <v>0</v>
      </c>
      <c r="D45" s="86">
        <v>0</v>
      </c>
      <c r="E45" s="87">
        <v>0</v>
      </c>
      <c r="F45" s="8">
        <v>0</v>
      </c>
    </row>
    <row r="46" spans="1:10" s="12" customFormat="1" x14ac:dyDescent="0.15">
      <c r="A46" s="14" t="s">
        <v>231</v>
      </c>
      <c r="B46" s="3" t="s">
        <v>117</v>
      </c>
      <c r="C46" s="89">
        <f>+C47+C49+C48</f>
        <v>2400</v>
      </c>
      <c r="D46" s="89">
        <f>+D47+D49+D48</f>
        <v>578.32000000000005</v>
      </c>
      <c r="E46" s="89">
        <f>+E47+E49+E48</f>
        <v>2146.64</v>
      </c>
      <c r="F46" s="16">
        <f>E46/C46*100</f>
        <v>89.443333333333328</v>
      </c>
    </row>
    <row r="47" spans="1:10" x14ac:dyDescent="0.15">
      <c r="A47" s="126" t="s">
        <v>230</v>
      </c>
      <c r="B47" s="123" t="s">
        <v>229</v>
      </c>
      <c r="C47" s="86">
        <v>2400</v>
      </c>
      <c r="D47" s="86">
        <v>578.32000000000005</v>
      </c>
      <c r="E47" s="86">
        <v>2146.64</v>
      </c>
      <c r="F47" s="8">
        <f>E47/C47*100</f>
        <v>89.443333333333328</v>
      </c>
    </row>
    <row r="48" spans="1:10" x14ac:dyDescent="0.15">
      <c r="A48" s="126" t="s">
        <v>228</v>
      </c>
      <c r="B48" s="123" t="s">
        <v>227</v>
      </c>
      <c r="C48" s="86">
        <v>0</v>
      </c>
      <c r="D48" s="86">
        <v>0</v>
      </c>
      <c r="E48" s="86">
        <v>0</v>
      </c>
      <c r="F48" s="8">
        <v>0</v>
      </c>
    </row>
    <row r="49" spans="1:10" x14ac:dyDescent="0.15">
      <c r="A49" s="126" t="s">
        <v>226</v>
      </c>
      <c r="B49" s="123" t="s">
        <v>225</v>
      </c>
      <c r="C49" s="86">
        <v>0</v>
      </c>
      <c r="D49" s="86">
        <v>0</v>
      </c>
      <c r="E49" s="86">
        <v>0</v>
      </c>
      <c r="F49" s="8">
        <v>0</v>
      </c>
    </row>
    <row r="50" spans="1:10" s="12" customFormat="1" x14ac:dyDescent="0.15">
      <c r="A50" s="14" t="s">
        <v>224</v>
      </c>
      <c r="B50" s="3" t="s">
        <v>116</v>
      </c>
      <c r="C50" s="71">
        <v>270000</v>
      </c>
      <c r="D50" s="141">
        <f>43901.88+800</f>
        <v>44701.88</v>
      </c>
      <c r="E50" s="141">
        <v>240442.2</v>
      </c>
      <c r="F50" s="150">
        <f t="shared" ref="F50:F56" si="2">E50/C50*100</f>
        <v>89.052666666666667</v>
      </c>
      <c r="G50" s="144"/>
      <c r="H50" s="144"/>
      <c r="I50" s="144"/>
    </row>
    <row r="51" spans="1:10" s="12" customFormat="1" x14ac:dyDescent="0.15">
      <c r="A51" s="14" t="s">
        <v>223</v>
      </c>
      <c r="B51" s="3" t="s">
        <v>115</v>
      </c>
      <c r="C51" s="71">
        <f>SUM(C52:C58)</f>
        <v>240500</v>
      </c>
      <c r="D51" s="146">
        <f>SUM(D52:D58)</f>
        <v>60210.119999999995</v>
      </c>
      <c r="E51" s="146">
        <f>SUM(E52:E58)</f>
        <v>207073.70999999996</v>
      </c>
      <c r="F51" s="150">
        <f t="shared" si="2"/>
        <v>86.101334719334702</v>
      </c>
      <c r="G51" s="144"/>
      <c r="H51" s="144"/>
      <c r="I51" s="144"/>
    </row>
    <row r="52" spans="1:10" x14ac:dyDescent="0.15">
      <c r="A52" s="126" t="s">
        <v>222</v>
      </c>
      <c r="B52" s="123" t="s">
        <v>221</v>
      </c>
      <c r="C52" s="86">
        <f>125000+1400</f>
        <v>126400</v>
      </c>
      <c r="D52" s="86">
        <v>19616.41</v>
      </c>
      <c r="E52" s="86">
        <v>126321.97</v>
      </c>
      <c r="F52" s="8">
        <f t="shared" si="2"/>
        <v>99.9382674050633</v>
      </c>
      <c r="J52" s="18"/>
    </row>
    <row r="53" spans="1:10" x14ac:dyDescent="0.15">
      <c r="A53" s="126" t="s">
        <v>220</v>
      </c>
      <c r="B53" s="123" t="s">
        <v>219</v>
      </c>
      <c r="C53" s="86">
        <f>35000+500</f>
        <v>35500</v>
      </c>
      <c r="D53" s="86">
        <v>12251.9</v>
      </c>
      <c r="E53" s="86">
        <v>35458.39</v>
      </c>
      <c r="F53" s="8">
        <f t="shared" si="2"/>
        <v>99.882788732394374</v>
      </c>
    </row>
    <row r="54" spans="1:10" x14ac:dyDescent="0.15">
      <c r="A54" s="126" t="s">
        <v>218</v>
      </c>
      <c r="B54" s="123" t="s">
        <v>217</v>
      </c>
      <c r="C54" s="86">
        <v>20000</v>
      </c>
      <c r="D54" s="86">
        <v>4787.0600000000004</v>
      </c>
      <c r="E54" s="86">
        <v>10947.36</v>
      </c>
      <c r="F54" s="8">
        <f t="shared" si="2"/>
        <v>54.736800000000009</v>
      </c>
    </row>
    <row r="55" spans="1:10" x14ac:dyDescent="0.15">
      <c r="A55" s="126" t="s">
        <v>216</v>
      </c>
      <c r="B55" s="123" t="s">
        <v>215</v>
      </c>
      <c r="C55" s="86">
        <v>12000</v>
      </c>
      <c r="D55" s="86">
        <v>0</v>
      </c>
      <c r="E55" s="86">
        <v>4557.3999999999996</v>
      </c>
      <c r="F55" s="8">
        <f t="shared" si="2"/>
        <v>37.978333333333332</v>
      </c>
    </row>
    <row r="56" spans="1:10" x14ac:dyDescent="0.15">
      <c r="A56" s="126" t="s">
        <v>214</v>
      </c>
      <c r="B56" s="123" t="s">
        <v>213</v>
      </c>
      <c r="C56" s="86">
        <v>7000</v>
      </c>
      <c r="D56" s="86">
        <v>0</v>
      </c>
      <c r="E56" s="86">
        <v>2997.42</v>
      </c>
      <c r="F56" s="8">
        <f t="shared" si="2"/>
        <v>42.820285714285717</v>
      </c>
    </row>
    <row r="57" spans="1:10" x14ac:dyDescent="0.15">
      <c r="A57" s="126" t="s">
        <v>212</v>
      </c>
      <c r="B57" s="123" t="s">
        <v>18</v>
      </c>
      <c r="C57" s="86">
        <v>0</v>
      </c>
      <c r="D57" s="86">
        <v>0</v>
      </c>
      <c r="E57" s="86">
        <v>0</v>
      </c>
      <c r="F57" s="8">
        <v>0</v>
      </c>
    </row>
    <row r="58" spans="1:10" x14ac:dyDescent="0.15">
      <c r="A58" s="126" t="s">
        <v>211</v>
      </c>
      <c r="B58" s="123" t="s">
        <v>210</v>
      </c>
      <c r="C58" s="86">
        <v>39600</v>
      </c>
      <c r="D58" s="86">
        <v>23554.75</v>
      </c>
      <c r="E58" s="86">
        <v>26791.17</v>
      </c>
      <c r="F58" s="8">
        <f>E58/C58*100</f>
        <v>67.654469696969684</v>
      </c>
    </row>
    <row r="59" spans="1:10" s="12" customFormat="1" x14ac:dyDescent="0.15">
      <c r="A59" s="14" t="s">
        <v>209</v>
      </c>
      <c r="B59" s="3" t="s">
        <v>113</v>
      </c>
      <c r="C59" s="71">
        <v>1000</v>
      </c>
      <c r="D59" s="89">
        <v>0</v>
      </c>
      <c r="E59" s="89">
        <v>0</v>
      </c>
      <c r="F59" s="16">
        <f>E59/C59*100</f>
        <v>0</v>
      </c>
    </row>
    <row r="60" spans="1:10" s="12" customFormat="1" ht="21" x14ac:dyDescent="0.15">
      <c r="A60" s="14" t="s">
        <v>208</v>
      </c>
      <c r="B60" s="3" t="s">
        <v>112</v>
      </c>
      <c r="C60" s="71">
        <f>SUM(C61,C71)</f>
        <v>5301400</v>
      </c>
      <c r="D60" s="71">
        <f>SUM(D61,D71)</f>
        <v>866352.33</v>
      </c>
      <c r="E60" s="71">
        <f>SUM(E61,E71)</f>
        <v>5109411.97</v>
      </c>
      <c r="F60" s="16">
        <f>E60/C60*100</f>
        <v>96.37854095144678</v>
      </c>
    </row>
    <row r="61" spans="1:10" ht="21" x14ac:dyDescent="0.15">
      <c r="A61" s="14" t="s">
        <v>207</v>
      </c>
      <c r="B61" s="3" t="s">
        <v>112</v>
      </c>
      <c r="C61" s="71">
        <f>SUM(C62:C70)</f>
        <v>2139200</v>
      </c>
      <c r="D61" s="71">
        <f>SUM(D62:D70)</f>
        <v>427727.93999999994</v>
      </c>
      <c r="E61" s="71">
        <f>SUM(E62:E70)</f>
        <v>1947731.97</v>
      </c>
      <c r="F61" s="16">
        <f>E61/C61*100</f>
        <v>91.049549831712781</v>
      </c>
    </row>
    <row r="62" spans="1:10" x14ac:dyDescent="0.15">
      <c r="A62" s="126" t="s">
        <v>206</v>
      </c>
      <c r="B62" s="123" t="s">
        <v>205</v>
      </c>
      <c r="C62" s="86">
        <v>0</v>
      </c>
      <c r="D62" s="86">
        <v>0</v>
      </c>
      <c r="E62" s="86">
        <v>0</v>
      </c>
      <c r="F62" s="8">
        <v>0</v>
      </c>
    </row>
    <row r="63" spans="1:10" x14ac:dyDescent="0.15">
      <c r="A63" s="126" t="s">
        <v>204</v>
      </c>
      <c r="B63" s="123" t="s">
        <v>203</v>
      </c>
      <c r="C63" s="86">
        <v>12000</v>
      </c>
      <c r="D63" s="86">
        <v>0</v>
      </c>
      <c r="E63" s="86">
        <v>4580.75</v>
      </c>
      <c r="F63" s="8">
        <f t="shared" ref="F63:F71" si="3">E63/C63*100</f>
        <v>38.172916666666666</v>
      </c>
    </row>
    <row r="64" spans="1:10" x14ac:dyDescent="0.15">
      <c r="A64" s="126" t="s">
        <v>202</v>
      </c>
      <c r="B64" s="123" t="s">
        <v>201</v>
      </c>
      <c r="C64" s="86">
        <f>339400+200</f>
        <v>339600</v>
      </c>
      <c r="D64" s="86">
        <v>45205.46</v>
      </c>
      <c r="E64" s="86">
        <v>293956.63</v>
      </c>
      <c r="F64" s="8">
        <f t="shared" si="3"/>
        <v>86.559667255594817</v>
      </c>
      <c r="J64" s="18"/>
    </row>
    <row r="65" spans="1:7" x14ac:dyDescent="0.15">
      <c r="A65" s="126" t="s">
        <v>200</v>
      </c>
      <c r="B65" s="123" t="s">
        <v>199</v>
      </c>
      <c r="C65" s="86">
        <v>10000</v>
      </c>
      <c r="D65" s="86">
        <v>5610.54</v>
      </c>
      <c r="E65" s="86">
        <v>9236.5400000000009</v>
      </c>
      <c r="F65" s="8">
        <f t="shared" si="3"/>
        <v>92.365400000000008</v>
      </c>
    </row>
    <row r="66" spans="1:7" ht="21" x14ac:dyDescent="0.15">
      <c r="A66" s="126" t="s">
        <v>198</v>
      </c>
      <c r="B66" s="123" t="s">
        <v>197</v>
      </c>
      <c r="C66" s="86">
        <v>88000</v>
      </c>
      <c r="D66" s="86">
        <v>39023.21</v>
      </c>
      <c r="E66" s="86">
        <v>78749.36</v>
      </c>
      <c r="F66" s="8">
        <f t="shared" si="3"/>
        <v>89.487909090909085</v>
      </c>
    </row>
    <row r="67" spans="1:7" x14ac:dyDescent="0.15">
      <c r="A67" s="126" t="s">
        <v>196</v>
      </c>
      <c r="B67" s="123" t="s">
        <v>195</v>
      </c>
      <c r="C67" s="86">
        <v>55000</v>
      </c>
      <c r="D67" s="86">
        <v>5600</v>
      </c>
      <c r="E67" s="86">
        <v>28750</v>
      </c>
      <c r="F67" s="8">
        <f t="shared" si="3"/>
        <v>52.272727272727273</v>
      </c>
    </row>
    <row r="68" spans="1:7" x14ac:dyDescent="0.15">
      <c r="A68" s="126" t="s">
        <v>194</v>
      </c>
      <c r="B68" s="123" t="s">
        <v>193</v>
      </c>
      <c r="C68" s="86">
        <v>10000</v>
      </c>
      <c r="D68" s="86">
        <v>0</v>
      </c>
      <c r="E68" s="86">
        <v>0</v>
      </c>
      <c r="F68" s="8">
        <f t="shared" si="3"/>
        <v>0</v>
      </c>
      <c r="G68" s="18"/>
    </row>
    <row r="69" spans="1:7" x14ac:dyDescent="0.15">
      <c r="A69" s="126" t="s">
        <v>192</v>
      </c>
      <c r="B69" s="123" t="s">
        <v>191</v>
      </c>
      <c r="C69" s="86">
        <v>54000</v>
      </c>
      <c r="D69" s="86">
        <v>0</v>
      </c>
      <c r="E69" s="86">
        <v>38894.9</v>
      </c>
      <c r="F69" s="8">
        <f t="shared" si="3"/>
        <v>72.027592592592597</v>
      </c>
    </row>
    <row r="70" spans="1:7" x14ac:dyDescent="0.15">
      <c r="A70" s="126" t="s">
        <v>190</v>
      </c>
      <c r="B70" s="123" t="s">
        <v>189</v>
      </c>
      <c r="C70" s="86">
        <f>1526500+5600+24000+14500</f>
        <v>1570600</v>
      </c>
      <c r="D70" s="86">
        <v>332288.73</v>
      </c>
      <c r="E70" s="86">
        <v>1493563.79</v>
      </c>
      <c r="F70" s="8">
        <f t="shared" si="3"/>
        <v>95.095109512288303</v>
      </c>
    </row>
    <row r="71" spans="1:7" s="12" customFormat="1" x14ac:dyDescent="0.15">
      <c r="A71" s="14" t="s">
        <v>188</v>
      </c>
      <c r="B71" s="3" t="s">
        <v>111</v>
      </c>
      <c r="C71" s="89">
        <f>+C72+C73+C74</f>
        <v>3162200</v>
      </c>
      <c r="D71" s="89">
        <f>+D72+D73+D74</f>
        <v>438624.39</v>
      </c>
      <c r="E71" s="89">
        <f>+E72+E73+E74</f>
        <v>3161680</v>
      </c>
      <c r="F71" s="16">
        <f t="shared" si="3"/>
        <v>99.983555752324321</v>
      </c>
    </row>
    <row r="72" spans="1:7" x14ac:dyDescent="0.15">
      <c r="A72" s="126" t="s">
        <v>187</v>
      </c>
      <c r="B72" s="123" t="s">
        <v>186</v>
      </c>
      <c r="C72" s="86">
        <v>0</v>
      </c>
      <c r="D72" s="86">
        <v>0</v>
      </c>
      <c r="E72" s="86">
        <v>0</v>
      </c>
      <c r="F72" s="8">
        <v>0</v>
      </c>
    </row>
    <row r="73" spans="1:7" x14ac:dyDescent="0.15">
      <c r="A73" s="126" t="s">
        <v>185</v>
      </c>
      <c r="B73" s="123" t="s">
        <v>184</v>
      </c>
      <c r="C73" s="86">
        <v>0</v>
      </c>
      <c r="D73" s="86">
        <v>0</v>
      </c>
      <c r="E73" s="86">
        <v>0</v>
      </c>
      <c r="F73" s="8">
        <v>0</v>
      </c>
    </row>
    <row r="74" spans="1:7" x14ac:dyDescent="0.15">
      <c r="A74" s="126" t="s">
        <v>183</v>
      </c>
      <c r="B74" s="123" t="s">
        <v>182</v>
      </c>
      <c r="C74" s="86">
        <f>3109000+18200+35000</f>
        <v>3162200</v>
      </c>
      <c r="D74" s="86">
        <v>438624.39</v>
      </c>
      <c r="E74" s="86">
        <v>3161680</v>
      </c>
      <c r="F74" s="8">
        <f>E74/C74*100</f>
        <v>99.983555752324321</v>
      </c>
    </row>
    <row r="75" spans="1:7" s="12" customFormat="1" x14ac:dyDescent="0.15">
      <c r="A75" s="14" t="s">
        <v>181</v>
      </c>
      <c r="B75" s="3" t="s">
        <v>110</v>
      </c>
      <c r="C75" s="71">
        <f>+C76</f>
        <v>1747000</v>
      </c>
      <c r="D75" s="71">
        <f>+D76</f>
        <v>121800.75</v>
      </c>
      <c r="E75" s="71">
        <f>+E76</f>
        <v>750523.78999999992</v>
      </c>
      <c r="F75" s="16">
        <f>E75/C75*100</f>
        <v>42.960720663995417</v>
      </c>
    </row>
    <row r="76" spans="1:7" x14ac:dyDescent="0.15">
      <c r="A76" s="14" t="s">
        <v>180</v>
      </c>
      <c r="B76" s="3" t="s">
        <v>110</v>
      </c>
      <c r="C76" s="71">
        <f>SUM(C77:C83)</f>
        <v>1747000</v>
      </c>
      <c r="D76" s="71">
        <f>SUM(D77:D83)</f>
        <v>121800.75</v>
      </c>
      <c r="E76" s="71">
        <f>SUM(E77:E83)</f>
        <v>750523.78999999992</v>
      </c>
      <c r="F76" s="16">
        <f>E76/C76*100</f>
        <v>42.960720663995417</v>
      </c>
    </row>
    <row r="77" spans="1:7" x14ac:dyDescent="0.15">
      <c r="A77" s="126" t="s">
        <v>179</v>
      </c>
      <c r="B77" s="123" t="s">
        <v>178</v>
      </c>
      <c r="C77" s="86">
        <v>286000</v>
      </c>
      <c r="D77" s="86">
        <v>0</v>
      </c>
      <c r="E77" s="86">
        <v>285101</v>
      </c>
      <c r="F77" s="8">
        <v>0</v>
      </c>
    </row>
    <row r="78" spans="1:7" x14ac:dyDescent="0.15">
      <c r="A78" s="126" t="s">
        <v>177</v>
      </c>
      <c r="B78" s="123" t="s">
        <v>176</v>
      </c>
      <c r="C78" s="86">
        <v>317000</v>
      </c>
      <c r="D78" s="86">
        <v>0</v>
      </c>
      <c r="E78" s="86">
        <v>51746.44</v>
      </c>
      <c r="F78" s="8">
        <f>E78/C78*100</f>
        <v>16.32379810725552</v>
      </c>
    </row>
    <row r="79" spans="1:7" x14ac:dyDescent="0.15">
      <c r="A79" s="126" t="s">
        <v>175</v>
      </c>
      <c r="B79" s="123" t="s">
        <v>174</v>
      </c>
      <c r="C79" s="86">
        <v>345000</v>
      </c>
      <c r="D79" s="86">
        <v>64378.42</v>
      </c>
      <c r="E79" s="86">
        <v>231466.99</v>
      </c>
      <c r="F79" s="8">
        <f>E79/C79*100</f>
        <v>67.091881159420282</v>
      </c>
    </row>
    <row r="80" spans="1:7" x14ac:dyDescent="0.15">
      <c r="A80" s="126" t="s">
        <v>173</v>
      </c>
      <c r="B80" s="123" t="s">
        <v>172</v>
      </c>
      <c r="C80" s="86">
        <v>0</v>
      </c>
      <c r="D80" s="86">
        <v>0</v>
      </c>
      <c r="E80" s="86">
        <v>0</v>
      </c>
      <c r="F80" s="8">
        <v>0</v>
      </c>
    </row>
    <row r="81" spans="1:8" x14ac:dyDescent="0.15">
      <c r="A81" s="126" t="s">
        <v>171</v>
      </c>
      <c r="B81" s="123" t="s">
        <v>170</v>
      </c>
      <c r="C81" s="86">
        <v>147500</v>
      </c>
      <c r="D81" s="86">
        <v>11526.19</v>
      </c>
      <c r="E81" s="86">
        <v>24175.599999999999</v>
      </c>
      <c r="F81" s="8">
        <f>E81/C81*100</f>
        <v>16.390237288135591</v>
      </c>
    </row>
    <row r="82" spans="1:8" x14ac:dyDescent="0.15">
      <c r="A82" s="126" t="s">
        <v>169</v>
      </c>
      <c r="B82" s="123" t="s">
        <v>168</v>
      </c>
      <c r="C82" s="86">
        <v>230500</v>
      </c>
      <c r="D82" s="86">
        <v>0</v>
      </c>
      <c r="E82" s="86">
        <v>35653</v>
      </c>
      <c r="F82" s="8">
        <f>E82/C82*100</f>
        <v>15.46767895878525</v>
      </c>
    </row>
    <row r="83" spans="1:8" x14ac:dyDescent="0.15">
      <c r="A83" s="126" t="s">
        <v>167</v>
      </c>
      <c r="B83" s="123" t="s">
        <v>166</v>
      </c>
      <c r="C83" s="86">
        <v>421000</v>
      </c>
      <c r="D83" s="86">
        <v>45896.14</v>
      </c>
      <c r="E83" s="86">
        <v>122380.76</v>
      </c>
      <c r="F83" s="8">
        <f>E83/C83*100</f>
        <v>29.069064133016624</v>
      </c>
    </row>
    <row r="84" spans="1:8" s="12" customFormat="1" x14ac:dyDescent="0.15">
      <c r="A84" s="14" t="s">
        <v>165</v>
      </c>
      <c r="B84" s="3" t="s">
        <v>93</v>
      </c>
      <c r="C84" s="71">
        <v>0</v>
      </c>
      <c r="D84" s="89">
        <v>0</v>
      </c>
      <c r="E84" s="89">
        <v>0</v>
      </c>
      <c r="F84" s="16">
        <v>0</v>
      </c>
    </row>
    <row r="85" spans="1:8" x14ac:dyDescent="0.15">
      <c r="A85" s="14" t="s">
        <v>164</v>
      </c>
      <c r="B85" s="3" t="s">
        <v>93</v>
      </c>
      <c r="C85" s="71">
        <v>0</v>
      </c>
      <c r="D85" s="89">
        <v>0</v>
      </c>
      <c r="E85" s="89">
        <v>0</v>
      </c>
      <c r="F85" s="16">
        <v>0</v>
      </c>
    </row>
    <row r="86" spans="1:8" x14ac:dyDescent="0.15">
      <c r="A86" s="126" t="s">
        <v>163</v>
      </c>
      <c r="B86" s="123" t="s">
        <v>162</v>
      </c>
      <c r="C86" s="88">
        <v>0</v>
      </c>
      <c r="D86" s="87">
        <v>0</v>
      </c>
      <c r="E86" s="86">
        <v>0</v>
      </c>
      <c r="F86" s="8">
        <v>0</v>
      </c>
    </row>
    <row r="87" spans="1:8" x14ac:dyDescent="0.15">
      <c r="A87" s="126" t="s">
        <v>161</v>
      </c>
      <c r="B87" s="123" t="s">
        <v>160</v>
      </c>
      <c r="C87" s="88">
        <v>0</v>
      </c>
      <c r="D87" s="87">
        <v>0</v>
      </c>
      <c r="E87" s="86">
        <v>0</v>
      </c>
      <c r="F87" s="8">
        <v>0</v>
      </c>
    </row>
    <row r="88" spans="1:8" x14ac:dyDescent="0.15">
      <c r="A88" s="126" t="s">
        <v>159</v>
      </c>
      <c r="B88" s="123" t="s">
        <v>158</v>
      </c>
      <c r="C88" s="88">
        <v>0</v>
      </c>
      <c r="D88" s="87">
        <v>0</v>
      </c>
      <c r="E88" s="86">
        <v>0</v>
      </c>
      <c r="F88" s="8">
        <v>0</v>
      </c>
    </row>
    <row r="89" spans="1:8" s="12" customFormat="1" x14ac:dyDescent="0.15">
      <c r="A89" s="14" t="s">
        <v>157</v>
      </c>
      <c r="B89" s="3" t="s">
        <v>109</v>
      </c>
      <c r="C89" s="89">
        <f>+C90+C96+C93</f>
        <v>2570100</v>
      </c>
      <c r="D89" s="89">
        <f>+D90+D96+D93</f>
        <v>288765.12</v>
      </c>
      <c r="E89" s="89">
        <f>+E90+E96+E93</f>
        <v>2473840.71</v>
      </c>
      <c r="F89" s="16">
        <f>E89/C89*100</f>
        <v>96.254648068168549</v>
      </c>
    </row>
    <row r="90" spans="1:8" x14ac:dyDescent="0.15">
      <c r="A90" s="14" t="s">
        <v>156</v>
      </c>
      <c r="B90" s="3" t="s">
        <v>155</v>
      </c>
      <c r="C90" s="71">
        <f>+C91</f>
        <v>240200</v>
      </c>
      <c r="D90" s="71">
        <f>+D91</f>
        <v>41766</v>
      </c>
      <c r="E90" s="71">
        <f>+E91</f>
        <v>240130</v>
      </c>
      <c r="F90" s="16">
        <f>E90/C90*100</f>
        <v>99.970857618651124</v>
      </c>
    </row>
    <row r="91" spans="1:8" x14ac:dyDescent="0.15">
      <c r="A91" s="126" t="s">
        <v>154</v>
      </c>
      <c r="B91" s="123" t="s">
        <v>153</v>
      </c>
      <c r="C91" s="88">
        <v>240200</v>
      </c>
      <c r="D91" s="86">
        <v>41766</v>
      </c>
      <c r="E91" s="86">
        <v>240130</v>
      </c>
      <c r="F91" s="47">
        <f>E91/C91*100</f>
        <v>99.970857618651124</v>
      </c>
    </row>
    <row r="92" spans="1:8" ht="21" x14ac:dyDescent="0.15">
      <c r="A92" s="126" t="s">
        <v>152</v>
      </c>
      <c r="B92" s="123" t="s">
        <v>151</v>
      </c>
      <c r="C92" s="88">
        <v>0</v>
      </c>
      <c r="D92" s="86">
        <v>0</v>
      </c>
      <c r="E92" s="86">
        <v>0</v>
      </c>
      <c r="F92" s="47">
        <v>0</v>
      </c>
    </row>
    <row r="93" spans="1:8" x14ac:dyDescent="0.15">
      <c r="A93" s="14" t="s">
        <v>150</v>
      </c>
      <c r="B93" s="3" t="s">
        <v>149</v>
      </c>
      <c r="C93" s="71">
        <v>0</v>
      </c>
      <c r="D93" s="137">
        <v>0</v>
      </c>
      <c r="E93" s="89">
        <v>0</v>
      </c>
      <c r="F93" s="48">
        <v>0</v>
      </c>
      <c r="G93" s="18"/>
    </row>
    <row r="94" spans="1:8" x14ac:dyDescent="0.15">
      <c r="A94" s="126" t="s">
        <v>148</v>
      </c>
      <c r="B94" s="123" t="s">
        <v>147</v>
      </c>
      <c r="C94" s="88">
        <v>0</v>
      </c>
      <c r="D94" s="137">
        <v>0</v>
      </c>
      <c r="E94" s="86">
        <v>0</v>
      </c>
      <c r="F94" s="49">
        <v>0</v>
      </c>
    </row>
    <row r="95" spans="1:8" x14ac:dyDescent="0.15">
      <c r="A95" s="126" t="s">
        <v>146</v>
      </c>
      <c r="B95" s="123" t="s">
        <v>145</v>
      </c>
      <c r="C95" s="127">
        <v>0</v>
      </c>
      <c r="D95" s="87">
        <v>0</v>
      </c>
      <c r="E95" s="86">
        <v>0</v>
      </c>
      <c r="F95" s="49">
        <v>0</v>
      </c>
    </row>
    <row r="96" spans="1:8" x14ac:dyDescent="0.15">
      <c r="A96" s="14" t="s">
        <v>144</v>
      </c>
      <c r="B96" s="3" t="s">
        <v>142</v>
      </c>
      <c r="C96" s="90">
        <f>+C97</f>
        <v>2329900</v>
      </c>
      <c r="D96" s="146">
        <f>+D97</f>
        <v>246999.12</v>
      </c>
      <c r="E96" s="146">
        <f>+E97</f>
        <v>2233710.71</v>
      </c>
      <c r="F96" s="147">
        <f>E96/C96*100</f>
        <v>95.871527104167569</v>
      </c>
      <c r="G96" s="143"/>
      <c r="H96" s="143"/>
    </row>
    <row r="97" spans="1:8" x14ac:dyDescent="0.15">
      <c r="A97" s="126" t="s">
        <v>143</v>
      </c>
      <c r="B97" s="123" t="s">
        <v>142</v>
      </c>
      <c r="C97" s="128">
        <f>2395800-130600+10500+5000+600+5300+7800+4500+800+1700+19000+5000+4500</f>
        <v>2329900</v>
      </c>
      <c r="D97" s="148">
        <v>246999.12</v>
      </c>
      <c r="E97" s="148">
        <f>2233841.9-131.19</f>
        <v>2233710.71</v>
      </c>
      <c r="F97" s="149">
        <f>E97/C97*100</f>
        <v>95.871527104167569</v>
      </c>
      <c r="G97" s="143"/>
      <c r="H97" s="143"/>
    </row>
    <row r="98" spans="1:8" s="12" customFormat="1" x14ac:dyDescent="0.15">
      <c r="A98" s="14" t="s">
        <v>141</v>
      </c>
      <c r="B98" s="3" t="s">
        <v>140</v>
      </c>
      <c r="C98" s="90">
        <f>+C99+C100+C101</f>
        <v>290000</v>
      </c>
      <c r="D98" s="146">
        <f>+D99+D100+D101</f>
        <v>125195.14</v>
      </c>
      <c r="E98" s="146">
        <f>+E99+E100+E101</f>
        <v>221770.46</v>
      </c>
      <c r="F98" s="147">
        <f>E98/C98*100</f>
        <v>76.472572413793102</v>
      </c>
      <c r="G98" s="144"/>
      <c r="H98" s="145"/>
    </row>
    <row r="99" spans="1:8" x14ac:dyDescent="0.15">
      <c r="A99" s="126" t="s">
        <v>139</v>
      </c>
      <c r="B99" s="123" t="s">
        <v>138</v>
      </c>
      <c r="C99" s="128">
        <v>280000</v>
      </c>
      <c r="D99" s="148">
        <f>125045.14+150</f>
        <v>125195.14</v>
      </c>
      <c r="E99" s="148">
        <f>221620.46+150</f>
        <v>221770.46</v>
      </c>
      <c r="F99" s="149">
        <f>E99/C99*100</f>
        <v>79.203735714285713</v>
      </c>
      <c r="G99" s="143"/>
      <c r="H99" s="143"/>
    </row>
    <row r="100" spans="1:8" x14ac:dyDescent="0.15">
      <c r="A100" s="126" t="s">
        <v>137</v>
      </c>
      <c r="B100" s="123" t="s">
        <v>136</v>
      </c>
      <c r="C100" s="128">
        <v>10000</v>
      </c>
      <c r="D100" s="148">
        <v>0</v>
      </c>
      <c r="E100" s="148">
        <v>0</v>
      </c>
      <c r="F100" s="149">
        <f>E100/C100*100</f>
        <v>0</v>
      </c>
      <c r="G100" s="143"/>
      <c r="H100" s="143"/>
    </row>
    <row r="101" spans="1:8" x14ac:dyDescent="0.15">
      <c r="A101" s="126" t="s">
        <v>135</v>
      </c>
      <c r="B101" s="123" t="s">
        <v>134</v>
      </c>
      <c r="C101" s="86">
        <v>0</v>
      </c>
      <c r="D101" s="86">
        <v>0</v>
      </c>
      <c r="E101" s="86">
        <v>0</v>
      </c>
      <c r="F101" s="8">
        <v>0</v>
      </c>
      <c r="G101" s="143"/>
      <c r="H101" s="143"/>
    </row>
    <row r="102" spans="1:8" s="12" customFormat="1" ht="15" customHeight="1" thickBot="1" x14ac:dyDescent="0.2">
      <c r="A102" s="13" t="s">
        <v>133</v>
      </c>
      <c r="B102" s="4" t="s">
        <v>132</v>
      </c>
      <c r="C102" s="91">
        <f>SUM(C6,C75,C84,C89,C98)</f>
        <v>14300000</v>
      </c>
      <c r="D102" s="91">
        <f>SUM(D6,D75,D84,D89,D98)</f>
        <v>2385588.9300000002</v>
      </c>
      <c r="E102" s="91">
        <f>SUM(E6,E75,E84,E89,E98)</f>
        <v>12407388.469999999</v>
      </c>
      <c r="F102" s="5">
        <f>E102/C102*100</f>
        <v>86.764954335664328</v>
      </c>
      <c r="G102" s="145"/>
      <c r="H102" s="145"/>
    </row>
    <row r="104" spans="1:8" x14ac:dyDescent="0.15">
      <c r="C104" s="18"/>
      <c r="D104" s="18"/>
      <c r="E104" s="18"/>
    </row>
    <row r="105" spans="1:8" x14ac:dyDescent="0.15">
      <c r="C105" s="18"/>
      <c r="D105" s="18"/>
      <c r="E105" s="18"/>
      <c r="F105" s="18"/>
      <c r="G105" s="18"/>
    </row>
    <row r="106" spans="1:8" x14ac:dyDescent="0.15">
      <c r="C106" s="18"/>
      <c r="D106" s="18"/>
      <c r="E106" s="18"/>
    </row>
    <row r="107" spans="1:8" x14ac:dyDescent="0.15">
      <c r="D107" s="18"/>
      <c r="E107" s="18"/>
    </row>
    <row r="108" spans="1:8" x14ac:dyDescent="0.15">
      <c r="D108" s="18"/>
      <c r="E108" s="18"/>
    </row>
    <row r="109" spans="1:8" x14ac:dyDescent="0.15">
      <c r="E109" s="18"/>
    </row>
    <row r="110" spans="1:8" x14ac:dyDescent="0.15">
      <c r="E110" s="18"/>
    </row>
    <row r="111" spans="1:8" x14ac:dyDescent="0.15">
      <c r="D111" s="18"/>
      <c r="E111" s="18"/>
    </row>
    <row r="112" spans="1:8" x14ac:dyDescent="0.15">
      <c r="E112" s="18"/>
    </row>
    <row r="113" spans="3:8" x14ac:dyDescent="0.15">
      <c r="E113" s="18"/>
    </row>
    <row r="114" spans="3:8" x14ac:dyDescent="0.15">
      <c r="C114" s="18"/>
    </row>
    <row r="115" spans="3:8" x14ac:dyDescent="0.15">
      <c r="C115" s="18"/>
    </row>
    <row r="116" spans="3:8" x14ac:dyDescent="0.15">
      <c r="C116" s="18"/>
      <c r="E116" s="18"/>
    </row>
    <row r="117" spans="3:8" x14ac:dyDescent="0.15">
      <c r="C117" s="18"/>
      <c r="E117" s="18"/>
    </row>
    <row r="118" spans="3:8" x14ac:dyDescent="0.15">
      <c r="E118" s="18"/>
    </row>
    <row r="119" spans="3:8" x14ac:dyDescent="0.15">
      <c r="E119" s="18"/>
      <c r="H119" s="18"/>
    </row>
    <row r="120" spans="3:8" x14ac:dyDescent="0.15">
      <c r="H120" s="18"/>
    </row>
    <row r="121" spans="3:8" x14ac:dyDescent="0.15">
      <c r="H121" s="18"/>
    </row>
    <row r="125" spans="3:8" x14ac:dyDescent="0.15">
      <c r="E125" s="18"/>
      <c r="H125" s="18"/>
    </row>
    <row r="126" spans="3:8" x14ac:dyDescent="0.15">
      <c r="E126" s="18"/>
      <c r="H126" s="18"/>
    </row>
    <row r="127" spans="3:8" x14ac:dyDescent="0.15">
      <c r="E127" s="18"/>
      <c r="H127" s="18"/>
    </row>
    <row r="128" spans="3:8" x14ac:dyDescent="0.15">
      <c r="E128" s="18"/>
      <c r="H128" s="18"/>
    </row>
    <row r="129" spans="1:8" x14ac:dyDescent="0.15">
      <c r="E129" s="18"/>
    </row>
    <row r="130" spans="1:8" x14ac:dyDescent="0.15">
      <c r="H130" s="18"/>
    </row>
    <row r="139" spans="1:8" ht="12" x14ac:dyDescent="0.2">
      <c r="A139" s="11" t="s">
        <v>131</v>
      </c>
      <c r="B139" s="15"/>
      <c r="C139" s="15"/>
      <c r="D139" s="15"/>
      <c r="E139" s="7"/>
    </row>
    <row r="140" spans="1:8" x14ac:dyDescent="0.15">
      <c r="A140" s="10"/>
      <c r="B140" s="7"/>
      <c r="C140" s="7"/>
      <c r="D140" s="7"/>
      <c r="E140" s="7"/>
    </row>
    <row r="141" spans="1:8" ht="60" x14ac:dyDescent="0.15">
      <c r="A141" s="10"/>
      <c r="B141" s="78" t="s">
        <v>130</v>
      </c>
      <c r="C141" s="72" t="s">
        <v>382</v>
      </c>
      <c r="D141" s="7"/>
      <c r="E141" s="7"/>
    </row>
    <row r="142" spans="1:8" ht="12" x14ac:dyDescent="0.2">
      <c r="A142" s="10"/>
      <c r="B142" s="92" t="s">
        <v>129</v>
      </c>
      <c r="C142" s="89">
        <f>+C143+C144+C145+C146+C148+C147</f>
        <v>1749579.6900000002</v>
      </c>
      <c r="D142" s="17"/>
      <c r="E142" s="73"/>
    </row>
    <row r="143" spans="1:8" ht="12" x14ac:dyDescent="0.2">
      <c r="A143" s="10"/>
      <c r="B143" s="93" t="s">
        <v>128</v>
      </c>
      <c r="C143" s="87">
        <f>212058.16+5479.46+214686.77+2240.72+595.06+782.41+1377.47+1377.47+1377.47+1377.47+16730.95+1377.47</f>
        <v>459460.87999999983</v>
      </c>
      <c r="D143" s="7"/>
      <c r="E143" s="17"/>
    </row>
    <row r="144" spans="1:8" ht="12" x14ac:dyDescent="0.2">
      <c r="A144" s="10"/>
      <c r="B144" s="93" t="s">
        <v>127</v>
      </c>
      <c r="C144" s="87">
        <f>2383.82+17232.2+17200.99+9613.98+546.23+918.97+4159.24+77.05+129.15+17544.9+16888.61+703.3+480.35+44615.9+15844.86+17317.77+16626.88</f>
        <v>182284.20000000004</v>
      </c>
      <c r="D144" s="7"/>
      <c r="E144" s="74"/>
    </row>
    <row r="145" spans="1:7" ht="12" x14ac:dyDescent="0.2">
      <c r="A145" s="10"/>
      <c r="B145" s="93" t="s">
        <v>126</v>
      </c>
      <c r="C145" s="87">
        <f>5200.63+49952.73+45869.36+25637.28+3680.25+4747.65+9972.8+458.2+514.74+46786.46+45036.2+4102.82+3501.18+15958.12+42252.97+46180.87+44338.5</f>
        <v>394190.76</v>
      </c>
      <c r="D145" s="7"/>
      <c r="E145" s="74"/>
      <c r="G145" s="18"/>
    </row>
    <row r="146" spans="1:7" ht="12" x14ac:dyDescent="0.2">
      <c r="A146" s="10"/>
      <c r="B146" s="93" t="s">
        <v>125</v>
      </c>
      <c r="C146" s="87">
        <f>2275.34+354.85+16893.31+16863.75+9079.87+1408.02+1813.95+3792.73+183.28+205.86+16726.58+16106.8+1024.3+1567.42+1254.46+1344.97+15121.12+16512.26+15859.72</f>
        <v>138388.59</v>
      </c>
      <c r="D146" s="7"/>
      <c r="E146" s="74"/>
    </row>
    <row r="147" spans="1:7" ht="12" x14ac:dyDescent="0.2">
      <c r="A147" s="10"/>
      <c r="B147" s="93" t="s">
        <v>124</v>
      </c>
      <c r="C147" s="87">
        <v>6497.32</v>
      </c>
      <c r="D147" s="7"/>
      <c r="E147" s="75"/>
    </row>
    <row r="148" spans="1:7" ht="12" x14ac:dyDescent="0.2">
      <c r="A148" s="10"/>
      <c r="B148" s="93" t="s">
        <v>123</v>
      </c>
      <c r="C148" s="87">
        <f>47341.91+47996.93+47341.91+47341.91+47341.91+47341.91+47341.91+47341.91+47341.91+47341.91+94683.82</f>
        <v>568757.94000000018</v>
      </c>
      <c r="D148" s="7"/>
      <c r="E148" s="76"/>
    </row>
    <row r="149" spans="1:7" ht="12" x14ac:dyDescent="0.2">
      <c r="A149" s="10"/>
      <c r="B149" s="92" t="s">
        <v>122</v>
      </c>
      <c r="C149" s="89">
        <f>500+600+864+3700+1144+11600+2602+72+900+8500+360</f>
        <v>30842</v>
      </c>
      <c r="D149" s="7"/>
      <c r="E149" s="73"/>
    </row>
    <row r="150" spans="1:7" ht="12" x14ac:dyDescent="0.2">
      <c r="A150" s="7"/>
      <c r="B150" s="92" t="s">
        <v>121</v>
      </c>
      <c r="C150" s="89">
        <f>3465+4712.85+2828.63+9.1+334.23+663.41+3565.45+3565.45+10009.82+100.45+3465+7407.86+3565.45+100.45+3565.45+3565.45+3565.45+7030.45</f>
        <v>61519.949999999983</v>
      </c>
      <c r="D150" s="138"/>
      <c r="E150" s="73"/>
    </row>
    <row r="151" spans="1:7" ht="12" x14ac:dyDescent="0.2">
      <c r="A151" s="7"/>
      <c r="B151" s="92" t="s">
        <v>120</v>
      </c>
      <c r="C151" s="89">
        <f>675+86+70+1633.5+1623.91+9975+5122.21+27353.86+1355.2+16532.48+5000+1482.4+3696.55+485.7+11.5+2387.06</f>
        <v>77490.369999999981</v>
      </c>
      <c r="D151" s="138"/>
      <c r="E151" s="73"/>
      <c r="F151" s="18"/>
    </row>
    <row r="152" spans="1:7" ht="12" x14ac:dyDescent="0.2">
      <c r="A152" s="7"/>
      <c r="B152" s="92" t="s">
        <v>119</v>
      </c>
      <c r="C152" s="141">
        <f>2298.4+643.57-131.19</f>
        <v>2810.78</v>
      </c>
      <c r="D152" s="138"/>
      <c r="E152" s="73"/>
      <c r="F152" s="18"/>
    </row>
    <row r="153" spans="1:7" ht="12" x14ac:dyDescent="0.2">
      <c r="A153" s="7"/>
      <c r="B153" s="92" t="s">
        <v>118</v>
      </c>
      <c r="C153" s="141">
        <f>5000+14.65</f>
        <v>5014.6499999999996</v>
      </c>
      <c r="D153" s="138"/>
      <c r="E153" s="73"/>
      <c r="F153" s="18"/>
    </row>
    <row r="154" spans="1:7" ht="12" x14ac:dyDescent="0.2">
      <c r="A154" s="7"/>
      <c r="B154" s="92" t="s">
        <v>117</v>
      </c>
      <c r="C154" s="141">
        <v>196.04</v>
      </c>
      <c r="D154" s="138"/>
      <c r="E154" s="73"/>
    </row>
    <row r="155" spans="1:7" ht="12" x14ac:dyDescent="0.2">
      <c r="A155" s="7"/>
      <c r="B155" s="92" t="s">
        <v>116</v>
      </c>
      <c r="C155" s="141">
        <v>10064.629999999999</v>
      </c>
      <c r="D155" s="138"/>
      <c r="E155" s="73"/>
      <c r="F155" s="18"/>
    </row>
    <row r="156" spans="1:7" ht="12" x14ac:dyDescent="0.2">
      <c r="A156" s="7"/>
      <c r="B156" s="92" t="s">
        <v>115</v>
      </c>
      <c r="C156" s="141">
        <f>13847.65+1750+14228.63+415.94+3496.5+3496.5+15.99+4439.79</f>
        <v>41691</v>
      </c>
      <c r="D156" s="138"/>
      <c r="E156" s="73"/>
      <c r="F156" s="7"/>
      <c r="G156" s="18"/>
    </row>
    <row r="157" spans="1:7" ht="12" x14ac:dyDescent="0.2">
      <c r="A157" s="7"/>
      <c r="B157" s="93" t="s">
        <v>114</v>
      </c>
      <c r="C157" s="142"/>
      <c r="D157" s="138"/>
      <c r="E157" s="17"/>
    </row>
    <row r="158" spans="1:7" ht="12" x14ac:dyDescent="0.2">
      <c r="A158" s="7"/>
      <c r="B158" s="92" t="s">
        <v>113</v>
      </c>
      <c r="C158" s="141"/>
      <c r="D158" s="138"/>
      <c r="E158" s="73"/>
    </row>
    <row r="159" spans="1:7" ht="26.25" customHeight="1" x14ac:dyDescent="0.15">
      <c r="A159" s="7"/>
      <c r="B159" s="94" t="s">
        <v>112</v>
      </c>
      <c r="C159" s="141">
        <f>486.74+1500+400+294.16+7862.6+817.3+5679.47+8658.5+27305.91+9448.55+60-2950+6889.12+2292.5+13778.24+2184.5+4025+500.01+4025+1500+6231.5+7744.93</f>
        <v>108734.03</v>
      </c>
      <c r="D159" s="138"/>
      <c r="E159" s="73"/>
      <c r="F159" s="18"/>
    </row>
    <row r="160" spans="1:7" ht="12" x14ac:dyDescent="0.2">
      <c r="A160" s="7"/>
      <c r="B160" s="92" t="s">
        <v>111</v>
      </c>
      <c r="C160" s="141">
        <f>15000+2003+5000+2900+5394.92+2012.5+1231.58+11042.83</f>
        <v>44584.83</v>
      </c>
      <c r="D160" s="138"/>
      <c r="E160" s="73"/>
    </row>
    <row r="161" spans="1:7" ht="12" x14ac:dyDescent="0.2">
      <c r="A161" s="7"/>
      <c r="B161" s="92" t="s">
        <v>110</v>
      </c>
      <c r="C161" s="141">
        <f>35400+6683.81+11592.86+5991.92+355+40+41119.15</f>
        <v>101182.73999999999</v>
      </c>
      <c r="D161" s="138"/>
      <c r="E161" s="73"/>
    </row>
    <row r="162" spans="1:7" ht="12" x14ac:dyDescent="0.2">
      <c r="A162" s="7"/>
      <c r="B162" s="92" t="s">
        <v>93</v>
      </c>
      <c r="C162" s="141"/>
      <c r="D162" s="138"/>
      <c r="E162" s="73"/>
      <c r="F162" s="18"/>
    </row>
    <row r="163" spans="1:7" ht="12" x14ac:dyDescent="0.2">
      <c r="A163" s="7"/>
      <c r="B163" s="92" t="s">
        <v>109</v>
      </c>
      <c r="C163" s="141"/>
      <c r="D163" s="138"/>
      <c r="E163" s="73"/>
      <c r="F163" s="18"/>
    </row>
    <row r="164" spans="1:7" ht="12" x14ac:dyDescent="0.2">
      <c r="A164" s="7"/>
      <c r="B164" s="95" t="s">
        <v>108</v>
      </c>
      <c r="C164" s="141">
        <f>+C142+C149+C150+C151+C152+C153+C154+C155+C156+C158+C159+C160+C161+C162+C163</f>
        <v>2233710.71</v>
      </c>
      <c r="D164" s="138"/>
      <c r="E164" s="73"/>
      <c r="F164" s="18"/>
    </row>
    <row r="165" spans="1:7" x14ac:dyDescent="0.15">
      <c r="A165" s="7"/>
      <c r="B165" s="7"/>
      <c r="C165" s="7"/>
      <c r="D165" s="138"/>
      <c r="E165" s="17"/>
    </row>
    <row r="166" spans="1:7" x14ac:dyDescent="0.15">
      <c r="A166" s="10"/>
      <c r="B166" s="17"/>
      <c r="C166" s="77"/>
      <c r="D166" s="138"/>
      <c r="E166" s="17"/>
      <c r="F166" s="129"/>
    </row>
    <row r="167" spans="1:7" x14ac:dyDescent="0.15">
      <c r="A167" s="10"/>
      <c r="B167" s="17"/>
      <c r="C167" s="17"/>
      <c r="D167" s="139"/>
      <c r="E167" s="17"/>
    </row>
    <row r="168" spans="1:7" x14ac:dyDescent="0.15">
      <c r="B168" s="18"/>
      <c r="C168" s="18"/>
      <c r="D168" s="140"/>
      <c r="E168" s="18"/>
      <c r="G168" s="18"/>
    </row>
    <row r="169" spans="1:7" x14ac:dyDescent="0.15">
      <c r="C169" s="18"/>
      <c r="E169" s="18"/>
      <c r="F169" s="18"/>
      <c r="G169" s="18"/>
    </row>
    <row r="170" spans="1:7" x14ac:dyDescent="0.15">
      <c r="C170" s="18"/>
      <c r="E170" s="18"/>
      <c r="G170" s="18"/>
    </row>
    <row r="172" spans="1:7" x14ac:dyDescent="0.15">
      <c r="C172" s="18"/>
    </row>
    <row r="174" spans="1:7" x14ac:dyDescent="0.15">
      <c r="C174" s="18"/>
      <c r="E174" s="18"/>
      <c r="F174" s="18"/>
    </row>
  </sheetData>
  <mergeCells count="2">
    <mergeCell ref="E2:F2"/>
    <mergeCell ref="A4:F4"/>
  </mergeCells>
  <pageMargins left="0.70866141732283472" right="0.70866141732283472" top="0.74803149606299213" bottom="0.74803149606299213" header="0.31496062992125984" footer="0.31496062992125984"/>
  <pageSetup scale="9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"/>
  <sheetViews>
    <sheetView topLeftCell="A10" workbookViewId="0">
      <selection activeCell="I23" sqref="I23"/>
    </sheetView>
  </sheetViews>
  <sheetFormatPr defaultRowHeight="15" x14ac:dyDescent="0.25"/>
  <cols>
    <col min="3" max="3" width="28.7109375" customWidth="1"/>
    <col min="4" max="4" width="16.5703125" customWidth="1"/>
    <col min="5" max="5" width="17.28515625" customWidth="1"/>
    <col min="6" max="6" width="19.140625" customWidth="1"/>
    <col min="7" max="7" width="21" customWidth="1"/>
    <col min="9" max="9" width="17.42578125" customWidth="1"/>
    <col min="10" max="10" width="20.28515625" customWidth="1"/>
    <col min="11" max="11" width="12.28515625" customWidth="1"/>
  </cols>
  <sheetData>
    <row r="1" spans="1:10" ht="15.75" thickBot="1" x14ac:dyDescent="0.3">
      <c r="A1" s="20"/>
      <c r="B1" s="20"/>
      <c r="C1" s="20"/>
      <c r="D1" s="20"/>
      <c r="E1" s="20"/>
      <c r="F1" s="20"/>
      <c r="G1" s="20"/>
      <c r="H1" s="20"/>
    </row>
    <row r="2" spans="1:10" ht="16.5" thickBot="1" x14ac:dyDescent="0.3">
      <c r="A2" s="208" t="s">
        <v>1</v>
      </c>
      <c r="B2" s="209"/>
      <c r="C2" s="209"/>
      <c r="D2" s="209"/>
      <c r="E2" s="210"/>
      <c r="F2" s="211" t="s">
        <v>308</v>
      </c>
      <c r="G2" s="212"/>
      <c r="H2" s="21"/>
    </row>
    <row r="3" spans="1:10" ht="45.75" customHeight="1" x14ac:dyDescent="0.25">
      <c r="A3" s="22" t="s">
        <v>306</v>
      </c>
      <c r="B3" s="213" t="s">
        <v>309</v>
      </c>
      <c r="C3" s="214"/>
      <c r="D3" s="215" t="s">
        <v>375</v>
      </c>
      <c r="E3" s="216"/>
      <c r="F3" s="215" t="s">
        <v>376</v>
      </c>
      <c r="G3" s="216"/>
      <c r="H3" s="21"/>
    </row>
    <row r="4" spans="1:10" x14ac:dyDescent="0.25">
      <c r="A4" s="23" t="s">
        <v>303</v>
      </c>
      <c r="B4" s="198" t="s">
        <v>310</v>
      </c>
      <c r="C4" s="199"/>
      <c r="D4" s="188">
        <f>SUM(D5:D7)</f>
        <v>2353012.39</v>
      </c>
      <c r="E4" s="189"/>
      <c r="F4" s="190">
        <f>+F5+F6+F7</f>
        <v>8874514.4100000001</v>
      </c>
      <c r="G4" s="191"/>
      <c r="H4" s="24"/>
      <c r="J4" s="130"/>
    </row>
    <row r="5" spans="1:10" ht="24" customHeight="1" x14ac:dyDescent="0.25">
      <c r="A5" s="25"/>
      <c r="B5" s="206" t="s">
        <v>311</v>
      </c>
      <c r="C5" s="207"/>
      <c r="D5" s="200">
        <v>2340837.67</v>
      </c>
      <c r="E5" s="201"/>
      <c r="F5" s="202">
        <v>8323476.2199999997</v>
      </c>
      <c r="G5" s="203"/>
      <c r="H5" s="24"/>
      <c r="J5" s="130"/>
    </row>
    <row r="6" spans="1:10" x14ac:dyDescent="0.25">
      <c r="A6" s="25"/>
      <c r="B6" s="204" t="s">
        <v>312</v>
      </c>
      <c r="C6" s="205"/>
      <c r="D6" s="200">
        <v>154.97999999999999</v>
      </c>
      <c r="E6" s="201"/>
      <c r="F6" s="202">
        <v>14745.85</v>
      </c>
      <c r="G6" s="203"/>
      <c r="H6" s="24"/>
      <c r="I6" s="29"/>
      <c r="J6" s="130"/>
    </row>
    <row r="7" spans="1:10" x14ac:dyDescent="0.25">
      <c r="A7" s="25"/>
      <c r="B7" s="204" t="s">
        <v>313</v>
      </c>
      <c r="C7" s="205"/>
      <c r="D7" s="200">
        <v>12019.74</v>
      </c>
      <c r="E7" s="201"/>
      <c r="F7" s="202">
        <v>536292.34</v>
      </c>
      <c r="G7" s="203"/>
      <c r="H7" s="24"/>
      <c r="I7" s="29"/>
      <c r="J7" s="130"/>
    </row>
    <row r="8" spans="1:10" x14ac:dyDescent="0.25">
      <c r="A8" s="23" t="s">
        <v>181</v>
      </c>
      <c r="B8" s="198" t="s">
        <v>314</v>
      </c>
      <c r="C8" s="199"/>
      <c r="D8" s="200"/>
      <c r="E8" s="201"/>
      <c r="F8" s="202"/>
      <c r="G8" s="203"/>
      <c r="H8" s="24"/>
      <c r="J8" s="130"/>
    </row>
    <row r="9" spans="1:10" ht="25.5" customHeight="1" x14ac:dyDescent="0.25">
      <c r="A9" s="23" t="s">
        <v>165</v>
      </c>
      <c r="B9" s="186" t="s">
        <v>315</v>
      </c>
      <c r="C9" s="187"/>
      <c r="D9" s="188">
        <v>11036.19</v>
      </c>
      <c r="E9" s="189"/>
      <c r="F9" s="190"/>
      <c r="G9" s="191"/>
      <c r="H9" s="24"/>
      <c r="J9" s="130"/>
    </row>
    <row r="10" spans="1:10" x14ac:dyDescent="0.25">
      <c r="A10" s="23" t="s">
        <v>157</v>
      </c>
      <c r="B10" s="198" t="s">
        <v>316</v>
      </c>
      <c r="C10" s="199"/>
      <c r="D10" s="188">
        <v>0</v>
      </c>
      <c r="E10" s="189"/>
      <c r="F10" s="190">
        <v>140446.35999999999</v>
      </c>
      <c r="G10" s="191"/>
      <c r="H10" s="24"/>
      <c r="I10" s="29"/>
      <c r="J10" s="130"/>
    </row>
    <row r="11" spans="1:10" x14ac:dyDescent="0.25">
      <c r="A11" s="23" t="s">
        <v>141</v>
      </c>
      <c r="B11" s="198" t="s">
        <v>317</v>
      </c>
      <c r="C11" s="199"/>
      <c r="D11" s="188">
        <f>SUM(D12:D13)</f>
        <v>0</v>
      </c>
      <c r="E11" s="189"/>
      <c r="F11" s="190">
        <f>SUM(G12:G13)</f>
        <v>0</v>
      </c>
      <c r="G11" s="191"/>
      <c r="H11" s="24"/>
      <c r="J11" s="130"/>
    </row>
    <row r="12" spans="1:10" x14ac:dyDescent="0.25">
      <c r="A12" s="23" t="s">
        <v>318</v>
      </c>
      <c r="B12" s="198" t="s">
        <v>319</v>
      </c>
      <c r="C12" s="199"/>
      <c r="D12" s="200"/>
      <c r="E12" s="201"/>
      <c r="F12" s="202"/>
      <c r="G12" s="203"/>
      <c r="H12" s="24"/>
      <c r="J12" s="130"/>
    </row>
    <row r="13" spans="1:10" x14ac:dyDescent="0.25">
      <c r="A13" s="23" t="s">
        <v>320</v>
      </c>
      <c r="B13" s="198" t="s">
        <v>321</v>
      </c>
      <c r="C13" s="199"/>
      <c r="D13" s="200"/>
      <c r="E13" s="201"/>
      <c r="F13" s="202"/>
      <c r="G13" s="203"/>
      <c r="H13" s="24"/>
      <c r="J13" s="130"/>
    </row>
    <row r="14" spans="1:10" x14ac:dyDescent="0.25">
      <c r="A14" s="23" t="s">
        <v>322</v>
      </c>
      <c r="B14" s="198" t="s">
        <v>323</v>
      </c>
      <c r="C14" s="199"/>
      <c r="D14" s="188">
        <v>324788.82</v>
      </c>
      <c r="E14" s="189"/>
      <c r="F14" s="190">
        <v>0</v>
      </c>
      <c r="G14" s="191"/>
      <c r="H14" s="24"/>
      <c r="I14" s="29"/>
      <c r="J14" s="130"/>
    </row>
    <row r="15" spans="1:10" ht="24.75" customHeight="1" x14ac:dyDescent="0.25">
      <c r="A15" s="23" t="s">
        <v>324</v>
      </c>
      <c r="B15" s="186" t="s">
        <v>325</v>
      </c>
      <c r="C15" s="187"/>
      <c r="D15" s="188">
        <v>0</v>
      </c>
      <c r="E15" s="189"/>
      <c r="F15" s="190"/>
      <c r="G15" s="191"/>
      <c r="H15" s="24"/>
      <c r="J15" s="130"/>
    </row>
    <row r="16" spans="1:10" ht="15.75" thickBot="1" x14ac:dyDescent="0.3">
      <c r="A16" s="26" t="s">
        <v>326</v>
      </c>
      <c r="B16" s="192" t="s">
        <v>327</v>
      </c>
      <c r="C16" s="193"/>
      <c r="D16" s="194">
        <v>0</v>
      </c>
      <c r="E16" s="195"/>
      <c r="F16" s="196"/>
      <c r="G16" s="197"/>
      <c r="H16" s="24"/>
      <c r="I16" s="29"/>
      <c r="J16" s="130"/>
    </row>
    <row r="17" spans="1:11" ht="15.75" thickBot="1" x14ac:dyDescent="0.3">
      <c r="A17" s="176" t="s">
        <v>328</v>
      </c>
      <c r="B17" s="177"/>
      <c r="C17" s="178"/>
      <c r="D17" s="179">
        <f>D4+D8+D9+D10+D11+D14+D15+D16</f>
        <v>2688837.4</v>
      </c>
      <c r="E17" s="180"/>
      <c r="F17" s="179">
        <f>F4+F8+F9+F10+F11+F14+F15+F16</f>
        <v>9014960.7699999996</v>
      </c>
      <c r="G17" s="180"/>
      <c r="H17" s="21"/>
      <c r="I17" t="s">
        <v>388</v>
      </c>
      <c r="J17" s="130"/>
    </row>
    <row r="18" spans="1:11" ht="15.75" thickBot="1" x14ac:dyDescent="0.3">
      <c r="A18" s="21"/>
      <c r="B18" s="21"/>
      <c r="C18" s="21"/>
      <c r="D18" s="21"/>
      <c r="E18" s="21"/>
      <c r="F18" s="21"/>
      <c r="G18" s="21"/>
      <c r="H18" s="21"/>
    </row>
    <row r="19" spans="1:11" x14ac:dyDescent="0.25">
      <c r="A19" s="181" t="s">
        <v>329</v>
      </c>
      <c r="B19" s="182"/>
      <c r="C19" s="182"/>
      <c r="D19" s="183" t="s">
        <v>330</v>
      </c>
      <c r="E19" s="183" t="s">
        <v>377</v>
      </c>
      <c r="F19" s="183" t="s">
        <v>378</v>
      </c>
      <c r="G19" s="184" t="s">
        <v>379</v>
      </c>
      <c r="H19" s="21"/>
    </row>
    <row r="20" spans="1:11" ht="52.5" customHeight="1" x14ac:dyDescent="0.25">
      <c r="A20" s="167"/>
      <c r="B20" s="168"/>
      <c r="C20" s="168"/>
      <c r="D20" s="170"/>
      <c r="E20" s="170"/>
      <c r="F20" s="170"/>
      <c r="G20" s="185"/>
      <c r="H20" s="21"/>
      <c r="I20" t="s">
        <v>386</v>
      </c>
    </row>
    <row r="21" spans="1:11" x14ac:dyDescent="0.25">
      <c r="A21" s="167" t="s">
        <v>331</v>
      </c>
      <c r="B21" s="168"/>
      <c r="C21" s="168"/>
      <c r="D21" s="132">
        <v>6980756.5899999999</v>
      </c>
      <c r="E21" s="133">
        <f>1535766.45+98568.3+6143.07+98568.3+6143.07+98568.3+6143.07+98568.3+6143.07+98568.3+6143.07+104711.37+104711.37+104711.37+104711.37+104711.37</f>
        <v>2582880.1500000008</v>
      </c>
      <c r="F21" s="133">
        <f>1640477.82+98568.3+6143.07+69807.58+69807.58+98568.3+6143.07+69807.58+98568.3+6143.07+104711.37+104711.37+104711.37+104711.37</f>
        <v>2582880.1500000008</v>
      </c>
      <c r="G21" s="134">
        <f>E21-F21</f>
        <v>0</v>
      </c>
      <c r="H21" s="21"/>
      <c r="J21" s="42"/>
      <c r="K21" s="42"/>
    </row>
    <row r="22" spans="1:11" x14ac:dyDescent="0.25">
      <c r="A22" s="169" t="s">
        <v>332</v>
      </c>
      <c r="B22" s="170"/>
      <c r="C22" s="170"/>
      <c r="D22" s="171">
        <v>2487624.42</v>
      </c>
      <c r="E22" s="172">
        <f>547277.35+37314.36+43457.43-6143.07+37314.36+37314.36+37314.36+37314.36+37314.36+37314.36+37314.36+37314.36</f>
        <v>920420.95</v>
      </c>
      <c r="F22" s="172">
        <f>584591.71+43457.43-6143.07+24876.24+24876.24+37314.36+24876.24+37314.36+37314.36+655.02+37314.36+37314.36+37314.36</f>
        <v>921075.97</v>
      </c>
      <c r="G22" s="174">
        <f>E22-F22</f>
        <v>-655.02000000001863</v>
      </c>
      <c r="H22" s="21"/>
      <c r="I22" t="s">
        <v>387</v>
      </c>
      <c r="J22" s="42"/>
      <c r="K22" s="163"/>
    </row>
    <row r="23" spans="1:11" ht="25.5" customHeight="1" x14ac:dyDescent="0.25">
      <c r="A23" s="169"/>
      <c r="B23" s="170"/>
      <c r="C23" s="170"/>
      <c r="D23" s="171"/>
      <c r="E23" s="173"/>
      <c r="F23" s="173"/>
      <c r="G23" s="175"/>
      <c r="H23" s="21"/>
      <c r="I23" t="s">
        <v>385</v>
      </c>
      <c r="J23" s="42"/>
      <c r="K23" s="163"/>
    </row>
    <row r="24" spans="1:11" ht="15.75" thickBot="1" x14ac:dyDescent="0.3">
      <c r="A24" s="164" t="s">
        <v>108</v>
      </c>
      <c r="B24" s="165"/>
      <c r="C24" s="165"/>
      <c r="D24" s="135">
        <f>SUM(D21:D23)</f>
        <v>9468381.0099999998</v>
      </c>
      <c r="E24" s="135">
        <f>SUM(E21:E23)</f>
        <v>3503301.1000000006</v>
      </c>
      <c r="F24" s="135">
        <f>SUM(F21:F23)</f>
        <v>3503956.120000001</v>
      </c>
      <c r="G24" s="136">
        <f>SUM(G21:G23)</f>
        <v>-655.02000000001863</v>
      </c>
      <c r="H24" s="21"/>
      <c r="J24" s="43"/>
    </row>
    <row r="25" spans="1:11" x14ac:dyDescent="0.25">
      <c r="A25" s="21"/>
      <c r="B25" s="21"/>
      <c r="C25" s="21"/>
      <c r="D25" s="21"/>
      <c r="E25" s="21"/>
      <c r="F25" s="21"/>
      <c r="G25" s="21"/>
      <c r="H25" s="21"/>
    </row>
    <row r="26" spans="1:11" x14ac:dyDescent="0.25">
      <c r="A26" s="19"/>
      <c r="B26" s="19"/>
      <c r="C26" s="27"/>
      <c r="D26" s="51" t="s">
        <v>333</v>
      </c>
      <c r="E26" s="52"/>
      <c r="F26" s="52"/>
      <c r="G26" s="28"/>
      <c r="H26" s="28"/>
      <c r="I26" s="43"/>
      <c r="J26" s="43"/>
      <c r="K26" s="43"/>
    </row>
    <row r="27" spans="1:11" x14ac:dyDescent="0.25">
      <c r="A27" s="19"/>
      <c r="B27" s="19"/>
      <c r="C27" s="19"/>
      <c r="D27" s="28"/>
      <c r="E27" s="166" t="s">
        <v>334</v>
      </c>
      <c r="F27" s="166"/>
      <c r="G27" s="28"/>
      <c r="H27" s="19"/>
      <c r="J27" s="43"/>
      <c r="K27" s="43"/>
    </row>
    <row r="28" spans="1:11" x14ac:dyDescent="0.25">
      <c r="A28" s="19"/>
      <c r="B28" s="19"/>
      <c r="C28" s="19"/>
      <c r="D28" s="19"/>
      <c r="E28" s="19"/>
      <c r="F28" s="19"/>
      <c r="G28" s="19"/>
      <c r="H28" s="19"/>
      <c r="I28" s="43"/>
    </row>
    <row r="29" spans="1:11" x14ac:dyDescent="0.25">
      <c r="A29" s="19"/>
      <c r="B29" s="19"/>
      <c r="C29" s="19"/>
      <c r="D29" s="19"/>
      <c r="E29" s="31"/>
      <c r="F29" s="19"/>
      <c r="G29" s="19"/>
      <c r="H29" s="19"/>
    </row>
    <row r="30" spans="1:11" x14ac:dyDescent="0.25">
      <c r="A30" s="19"/>
      <c r="B30" s="19"/>
      <c r="C30" s="19"/>
      <c r="D30" s="45"/>
      <c r="E30" s="45"/>
      <c r="F30" s="45"/>
      <c r="G30" s="30"/>
      <c r="H30" s="19"/>
    </row>
    <row r="31" spans="1:11" x14ac:dyDescent="0.25">
      <c r="A31" s="19"/>
      <c r="B31" s="19"/>
      <c r="C31" s="19"/>
      <c r="D31" s="19"/>
      <c r="E31" s="19"/>
      <c r="F31" s="45"/>
      <c r="G31" s="30"/>
      <c r="H31" s="19"/>
    </row>
    <row r="32" spans="1:11" x14ac:dyDescent="0.25">
      <c r="A32" s="19"/>
      <c r="B32" s="19"/>
      <c r="C32" s="19"/>
      <c r="D32" s="19"/>
      <c r="E32" s="19"/>
      <c r="F32" s="45"/>
      <c r="G32" s="19"/>
      <c r="H32" s="19"/>
    </row>
    <row r="33" spans="1:8" x14ac:dyDescent="0.25">
      <c r="A33" s="19"/>
      <c r="B33" s="19"/>
      <c r="C33" s="19"/>
      <c r="D33" s="19"/>
      <c r="E33" s="19"/>
      <c r="F33" s="19"/>
      <c r="G33" s="19"/>
      <c r="H33" s="19"/>
    </row>
    <row r="34" spans="1:8" x14ac:dyDescent="0.25">
      <c r="A34" s="19"/>
      <c r="B34" s="19"/>
      <c r="C34" s="19"/>
      <c r="D34" s="19"/>
      <c r="E34" s="19"/>
      <c r="F34" s="19"/>
      <c r="G34" s="19"/>
      <c r="H34" s="19"/>
    </row>
    <row r="35" spans="1:8" x14ac:dyDescent="0.25">
      <c r="A35" s="19"/>
      <c r="B35" s="19"/>
      <c r="C35" s="19"/>
      <c r="D35" s="19"/>
      <c r="E35" s="19"/>
      <c r="F35" s="30"/>
      <c r="G35" s="19"/>
      <c r="H35" s="19"/>
    </row>
    <row r="36" spans="1:8" x14ac:dyDescent="0.25">
      <c r="A36" s="19"/>
      <c r="B36" s="19"/>
      <c r="C36" s="19"/>
      <c r="D36" s="19"/>
      <c r="E36" s="19"/>
      <c r="F36" s="19"/>
      <c r="G36" s="19"/>
      <c r="H36" s="19"/>
    </row>
    <row r="37" spans="1:8" x14ac:dyDescent="0.25">
      <c r="A37" s="19"/>
      <c r="B37" s="19"/>
      <c r="C37" s="19"/>
      <c r="D37" s="19"/>
      <c r="E37" s="19"/>
      <c r="F37" s="19"/>
      <c r="G37" s="19"/>
      <c r="H37" s="19"/>
    </row>
  </sheetData>
  <mergeCells count="61">
    <mergeCell ref="B4:C4"/>
    <mergeCell ref="D4:E4"/>
    <mergeCell ref="F4:G4"/>
    <mergeCell ref="A2:E2"/>
    <mergeCell ref="F2:G2"/>
    <mergeCell ref="B3:C3"/>
    <mergeCell ref="D3:E3"/>
    <mergeCell ref="F3:G3"/>
    <mergeCell ref="B5:C5"/>
    <mergeCell ref="D5:E5"/>
    <mergeCell ref="F5:G5"/>
    <mergeCell ref="B6:C6"/>
    <mergeCell ref="D6:E6"/>
    <mergeCell ref="F6:G6"/>
    <mergeCell ref="B7:C7"/>
    <mergeCell ref="D7:E7"/>
    <mergeCell ref="F7:G7"/>
    <mergeCell ref="B8:C8"/>
    <mergeCell ref="D8:E8"/>
    <mergeCell ref="F8:G8"/>
    <mergeCell ref="B9:C9"/>
    <mergeCell ref="D9:E9"/>
    <mergeCell ref="F9:G9"/>
    <mergeCell ref="B10:C10"/>
    <mergeCell ref="D10:E10"/>
    <mergeCell ref="F10:G10"/>
    <mergeCell ref="B11:C11"/>
    <mergeCell ref="D11:E11"/>
    <mergeCell ref="F11:G11"/>
    <mergeCell ref="B12:C12"/>
    <mergeCell ref="D12:E12"/>
    <mergeCell ref="F12:G12"/>
    <mergeCell ref="B13:C13"/>
    <mergeCell ref="D13:E13"/>
    <mergeCell ref="F13:G13"/>
    <mergeCell ref="B14:C14"/>
    <mergeCell ref="D14:E14"/>
    <mergeCell ref="F14:G14"/>
    <mergeCell ref="B15:C15"/>
    <mergeCell ref="D15:E15"/>
    <mergeCell ref="F15:G15"/>
    <mergeCell ref="B16:C16"/>
    <mergeCell ref="D16:E16"/>
    <mergeCell ref="F16:G16"/>
    <mergeCell ref="A17:C17"/>
    <mergeCell ref="D17:E17"/>
    <mergeCell ref="F17:G17"/>
    <mergeCell ref="A19:C20"/>
    <mergeCell ref="D19:D20"/>
    <mergeCell ref="E19:E20"/>
    <mergeCell ref="F19:F20"/>
    <mergeCell ref="G19:G20"/>
    <mergeCell ref="K22:K23"/>
    <mergeCell ref="A24:C24"/>
    <mergeCell ref="E27:F27"/>
    <mergeCell ref="A21:C21"/>
    <mergeCell ref="A22:C23"/>
    <mergeCell ref="D22:D23"/>
    <mergeCell ref="E22:E23"/>
    <mergeCell ref="F22:F23"/>
    <mergeCell ref="G22:G23"/>
  </mergeCells>
  <pageMargins left="0.7" right="0.7" top="0.75" bottom="0.75" header="0.3" footer="0.3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23"/>
  <sheetViews>
    <sheetView workbookViewId="0">
      <selection activeCell="L9" sqref="L9"/>
    </sheetView>
  </sheetViews>
  <sheetFormatPr defaultRowHeight="15" x14ac:dyDescent="0.25"/>
  <cols>
    <col min="1" max="1" width="5.5703125" customWidth="1"/>
    <col min="2" max="2" width="17.5703125" customWidth="1"/>
    <col min="3" max="3" width="13.140625" customWidth="1"/>
    <col min="4" max="4" width="12.5703125" customWidth="1"/>
    <col min="5" max="5" width="13.28515625" customWidth="1"/>
    <col min="6" max="6" width="12.7109375" customWidth="1"/>
    <col min="7" max="7" width="11.42578125" customWidth="1"/>
    <col min="8" max="8" width="12.5703125" customWidth="1"/>
    <col min="9" max="9" width="11.140625" customWidth="1"/>
    <col min="10" max="10" width="11.42578125" customWidth="1"/>
    <col min="12" max="12" width="17.85546875" customWidth="1"/>
    <col min="13" max="13" width="11.7109375" bestFit="1" customWidth="1"/>
  </cols>
  <sheetData>
    <row r="1" spans="1:13" ht="15.75" thickBot="1" x14ac:dyDescent="0.3">
      <c r="A1" s="222" t="s">
        <v>1</v>
      </c>
      <c r="B1" s="223"/>
      <c r="C1" s="223"/>
      <c r="D1" s="223"/>
      <c r="E1" s="223"/>
      <c r="F1" s="223"/>
      <c r="G1" s="223"/>
      <c r="H1" s="224"/>
      <c r="I1" s="222" t="s">
        <v>335</v>
      </c>
      <c r="J1" s="224"/>
    </row>
    <row r="2" spans="1:13" ht="24.75" customHeight="1" x14ac:dyDescent="0.25">
      <c r="A2" s="225" t="s">
        <v>306</v>
      </c>
      <c r="B2" s="227" t="s">
        <v>336</v>
      </c>
      <c r="C2" s="229" t="s">
        <v>373</v>
      </c>
      <c r="D2" s="230"/>
      <c r="E2" s="230"/>
      <c r="F2" s="231"/>
      <c r="G2" s="229" t="s">
        <v>374</v>
      </c>
      <c r="H2" s="230"/>
      <c r="I2" s="230"/>
      <c r="J2" s="231"/>
    </row>
    <row r="3" spans="1:13" ht="58.5" customHeight="1" thickBot="1" x14ac:dyDescent="0.3">
      <c r="A3" s="226"/>
      <c r="B3" s="228"/>
      <c r="C3" s="65" t="s">
        <v>337</v>
      </c>
      <c r="D3" s="65" t="s">
        <v>338</v>
      </c>
      <c r="E3" s="65" t="s">
        <v>339</v>
      </c>
      <c r="F3" s="66" t="s">
        <v>340</v>
      </c>
      <c r="G3" s="67" t="s">
        <v>337</v>
      </c>
      <c r="H3" s="65" t="s">
        <v>338</v>
      </c>
      <c r="I3" s="65" t="s">
        <v>339</v>
      </c>
      <c r="J3" s="68" t="s">
        <v>340</v>
      </c>
    </row>
    <row r="4" spans="1:13" ht="15.75" thickTop="1" x14ac:dyDescent="0.25">
      <c r="A4" s="53" t="s">
        <v>303</v>
      </c>
      <c r="B4" s="54" t="s">
        <v>341</v>
      </c>
      <c r="C4" s="96">
        <f>+C5+C8</f>
        <v>1105749.99</v>
      </c>
      <c r="D4" s="96">
        <f>+D5+D8</f>
        <v>1105749.99</v>
      </c>
      <c r="E4" s="96">
        <f>SUM(E5)</f>
        <v>543915.99</v>
      </c>
      <c r="F4" s="96">
        <f>+F5+F8</f>
        <v>561834</v>
      </c>
      <c r="G4" s="97">
        <f>G5+G8</f>
        <v>800000</v>
      </c>
      <c r="H4" s="96">
        <f>H5+H8</f>
        <v>807717.73</v>
      </c>
      <c r="I4" s="96">
        <f>I5+I8</f>
        <v>541555.13</v>
      </c>
      <c r="J4" s="98">
        <f>J5+J8</f>
        <v>266162.59999999998</v>
      </c>
    </row>
    <row r="5" spans="1:13" x14ac:dyDescent="0.25">
      <c r="A5" s="55">
        <v>1</v>
      </c>
      <c r="B5" s="56" t="s">
        <v>342</v>
      </c>
      <c r="C5" s="99">
        <f>SUM(C6:C7)</f>
        <v>1105749.99</v>
      </c>
      <c r="D5" s="99">
        <f>SUM(D6:D7)</f>
        <v>1105749.99</v>
      </c>
      <c r="E5" s="99">
        <f>SUM(E6:E7)</f>
        <v>543915.99</v>
      </c>
      <c r="F5" s="99">
        <f t="shared" ref="F5:J5" si="0">SUM(F6:F7)</f>
        <v>561834</v>
      </c>
      <c r="G5" s="100">
        <f t="shared" si="0"/>
        <v>800000</v>
      </c>
      <c r="H5" s="99">
        <f t="shared" si="0"/>
        <v>807717.73</v>
      </c>
      <c r="I5" s="99">
        <f t="shared" si="0"/>
        <v>541555.13</v>
      </c>
      <c r="J5" s="101">
        <f t="shared" si="0"/>
        <v>266162.59999999998</v>
      </c>
    </row>
    <row r="6" spans="1:13" x14ac:dyDescent="0.25">
      <c r="A6" s="57" t="s">
        <v>343</v>
      </c>
      <c r="B6" s="58" t="s">
        <v>344</v>
      </c>
      <c r="C6" s="102"/>
      <c r="D6" s="102"/>
      <c r="E6" s="102"/>
      <c r="F6" s="102"/>
      <c r="G6" s="103"/>
      <c r="H6" s="102"/>
      <c r="I6" s="102"/>
      <c r="J6" s="104"/>
      <c r="L6" s="29"/>
    </row>
    <row r="7" spans="1:13" x14ac:dyDescent="0.25">
      <c r="A7" s="57" t="s">
        <v>345</v>
      </c>
      <c r="B7" s="58" t="s">
        <v>346</v>
      </c>
      <c r="C7" s="102">
        <v>1105749.99</v>
      </c>
      <c r="D7" s="102">
        <v>1105749.99</v>
      </c>
      <c r="E7" s="102">
        <f>+C7-F7</f>
        <v>543915.99</v>
      </c>
      <c r="F7" s="102">
        <v>561834</v>
      </c>
      <c r="G7" s="103">
        <f>750000+50000</f>
        <v>800000</v>
      </c>
      <c r="H7" s="102">
        <f>757717.73+50000</f>
        <v>807717.73</v>
      </c>
      <c r="I7" s="102">
        <f>+H7-J7</f>
        <v>541555.13</v>
      </c>
      <c r="J7" s="104">
        <v>266162.59999999998</v>
      </c>
      <c r="L7" s="44"/>
    </row>
    <row r="8" spans="1:13" x14ac:dyDescent="0.25">
      <c r="A8" s="55">
        <v>2</v>
      </c>
      <c r="B8" s="56" t="s">
        <v>347</v>
      </c>
      <c r="C8" s="99"/>
      <c r="D8" s="99"/>
      <c r="E8" s="99" t="s">
        <v>348</v>
      </c>
      <c r="F8" s="99"/>
      <c r="G8" s="103"/>
      <c r="H8" s="99"/>
      <c r="I8" s="99"/>
      <c r="J8" s="105"/>
      <c r="L8" s="29"/>
      <c r="M8" s="29"/>
    </row>
    <row r="9" spans="1:13" x14ac:dyDescent="0.25">
      <c r="A9" s="59" t="s">
        <v>181</v>
      </c>
      <c r="B9" s="56" t="s">
        <v>349</v>
      </c>
      <c r="C9" s="99">
        <f>C10+C13</f>
        <v>0</v>
      </c>
      <c r="D9" s="99">
        <f>D10+D13</f>
        <v>0</v>
      </c>
      <c r="E9" s="99">
        <f>E10+E13</f>
        <v>0</v>
      </c>
      <c r="F9" s="99">
        <f>F10+F13</f>
        <v>0</v>
      </c>
      <c r="G9" s="100">
        <f>SUM(G10+G13)</f>
        <v>0</v>
      </c>
      <c r="H9" s="99">
        <f>SUM(H10+H13)</f>
        <v>0</v>
      </c>
      <c r="I9" s="99">
        <f>SUM(I10+I13)</f>
        <v>0</v>
      </c>
      <c r="J9" s="101">
        <f>SUM(J10+J13)</f>
        <v>0</v>
      </c>
      <c r="L9" s="29"/>
    </row>
    <row r="10" spans="1:13" x14ac:dyDescent="0.25">
      <c r="A10" s="55">
        <v>1</v>
      </c>
      <c r="B10" s="56" t="s">
        <v>350</v>
      </c>
      <c r="C10" s="99">
        <f t="shared" ref="C10:J10" si="1">SUM(C11:C12)</f>
        <v>0</v>
      </c>
      <c r="D10" s="99">
        <f t="shared" si="1"/>
        <v>0</v>
      </c>
      <c r="E10" s="99">
        <f t="shared" si="1"/>
        <v>0</v>
      </c>
      <c r="F10" s="99">
        <f t="shared" si="1"/>
        <v>0</v>
      </c>
      <c r="G10" s="100">
        <f t="shared" si="1"/>
        <v>0</v>
      </c>
      <c r="H10" s="99">
        <f t="shared" si="1"/>
        <v>0</v>
      </c>
      <c r="I10" s="99">
        <f t="shared" si="1"/>
        <v>0</v>
      </c>
      <c r="J10" s="101">
        <f t="shared" si="1"/>
        <v>0</v>
      </c>
      <c r="L10" s="29"/>
    </row>
    <row r="11" spans="1:13" x14ac:dyDescent="0.25">
      <c r="A11" s="57" t="s">
        <v>343</v>
      </c>
      <c r="B11" s="58" t="s">
        <v>344</v>
      </c>
      <c r="C11" s="102"/>
      <c r="D11" s="102"/>
      <c r="E11" s="102"/>
      <c r="F11" s="102"/>
      <c r="G11" s="103"/>
      <c r="H11" s="102"/>
      <c r="I11" s="102"/>
      <c r="J11" s="104"/>
      <c r="L11" s="29"/>
      <c r="M11" s="29"/>
    </row>
    <row r="12" spans="1:13" x14ac:dyDescent="0.25">
      <c r="A12" s="57" t="s">
        <v>345</v>
      </c>
      <c r="B12" s="58" t="s">
        <v>346</v>
      </c>
      <c r="C12" s="102"/>
      <c r="D12" s="102"/>
      <c r="E12" s="102"/>
      <c r="F12" s="102"/>
      <c r="G12" s="103"/>
      <c r="H12" s="102"/>
      <c r="I12" s="102"/>
      <c r="J12" s="104"/>
      <c r="K12" t="s">
        <v>355</v>
      </c>
      <c r="L12" s="29"/>
    </row>
    <row r="13" spans="1:13" ht="15.75" thickBot="1" x14ac:dyDescent="0.3">
      <c r="A13" s="55">
        <v>2</v>
      </c>
      <c r="B13" s="56" t="s">
        <v>347</v>
      </c>
      <c r="C13" s="99"/>
      <c r="D13" s="99"/>
      <c r="E13" s="99"/>
      <c r="F13" s="99"/>
      <c r="G13" s="100"/>
      <c r="H13" s="99"/>
      <c r="I13" s="99"/>
      <c r="J13" s="105"/>
      <c r="L13" s="29"/>
    </row>
    <row r="14" spans="1:13" ht="16.5" thickTop="1" thickBot="1" x14ac:dyDescent="0.3">
      <c r="A14" s="218" t="s">
        <v>351</v>
      </c>
      <c r="B14" s="219"/>
      <c r="C14" s="106">
        <f t="shared" ref="C14:J14" si="2">C4+C9</f>
        <v>1105749.99</v>
      </c>
      <c r="D14" s="106">
        <f t="shared" si="2"/>
        <v>1105749.99</v>
      </c>
      <c r="E14" s="106">
        <f t="shared" si="2"/>
        <v>543915.99</v>
      </c>
      <c r="F14" s="106">
        <f t="shared" si="2"/>
        <v>561834</v>
      </c>
      <c r="G14" s="107">
        <f t="shared" si="2"/>
        <v>800000</v>
      </c>
      <c r="H14" s="108">
        <f t="shared" si="2"/>
        <v>807717.73</v>
      </c>
      <c r="I14" s="108">
        <f t="shared" si="2"/>
        <v>541555.13</v>
      </c>
      <c r="J14" s="109">
        <f t="shared" si="2"/>
        <v>266162.59999999998</v>
      </c>
      <c r="L14" s="29"/>
    </row>
    <row r="15" spans="1:13" ht="15.75" thickTop="1" x14ac:dyDescent="0.25">
      <c r="A15" s="53" t="s">
        <v>165</v>
      </c>
      <c r="B15" s="54" t="s">
        <v>352</v>
      </c>
      <c r="C15" s="110">
        <v>600000</v>
      </c>
      <c r="D15" s="110">
        <v>600000</v>
      </c>
      <c r="E15" s="110">
        <f>92851.23+13189</f>
        <v>106040.23</v>
      </c>
      <c r="F15" s="110">
        <f>+J7*0.8</f>
        <v>212930.08</v>
      </c>
      <c r="G15" s="111"/>
      <c r="H15" s="110"/>
      <c r="I15" s="110"/>
      <c r="J15" s="112"/>
      <c r="L15" s="29"/>
    </row>
    <row r="16" spans="1:13" ht="15.75" thickBot="1" x14ac:dyDescent="0.3">
      <c r="A16" s="60" t="s">
        <v>157</v>
      </c>
      <c r="B16" s="61" t="s">
        <v>353</v>
      </c>
      <c r="C16" s="113"/>
      <c r="D16" s="113"/>
      <c r="E16" s="113"/>
      <c r="F16" s="113"/>
      <c r="G16" s="114"/>
      <c r="H16" s="115"/>
      <c r="I16" s="115"/>
      <c r="J16" s="116"/>
      <c r="L16" s="29"/>
    </row>
    <row r="17" spans="1:12" ht="15.75" thickBot="1" x14ac:dyDescent="0.3">
      <c r="A17" s="220" t="s">
        <v>354</v>
      </c>
      <c r="B17" s="221"/>
      <c r="C17" s="117">
        <f>C15+C16</f>
        <v>600000</v>
      </c>
      <c r="D17" s="117">
        <f>D15+D16</f>
        <v>600000</v>
      </c>
      <c r="E17" s="117">
        <f>E15+E16</f>
        <v>106040.23</v>
      </c>
      <c r="F17" s="117">
        <f>F15+F16</f>
        <v>212930.08</v>
      </c>
      <c r="G17" s="118">
        <f>SUM(G15:G16)</f>
        <v>0</v>
      </c>
      <c r="H17" s="118">
        <f>SUM(H15:H16)</f>
        <v>0</v>
      </c>
      <c r="I17" s="118">
        <f>SUM(I15:I16)</f>
        <v>0</v>
      </c>
      <c r="J17" s="119">
        <f>SUM(J15:J16)</f>
        <v>0</v>
      </c>
      <c r="L17" s="29"/>
    </row>
    <row r="18" spans="1:12" x14ac:dyDescent="0.25">
      <c r="A18" s="62"/>
      <c r="B18" s="62"/>
      <c r="C18" s="62"/>
      <c r="D18" s="62"/>
      <c r="E18" s="62"/>
      <c r="F18" s="62"/>
      <c r="G18" s="62"/>
      <c r="H18" s="62"/>
      <c r="I18" s="62"/>
      <c r="J18" s="62"/>
    </row>
    <row r="19" spans="1:12" x14ac:dyDescent="0.25">
      <c r="A19" s="28"/>
      <c r="B19" s="28"/>
      <c r="C19" s="69"/>
      <c r="D19" s="28"/>
      <c r="E19" s="28"/>
      <c r="F19" s="84"/>
      <c r="G19" s="28"/>
      <c r="H19" s="28"/>
      <c r="I19" s="28"/>
      <c r="J19" s="28"/>
    </row>
    <row r="20" spans="1:12" x14ac:dyDescent="0.25">
      <c r="A20" s="28"/>
      <c r="B20" s="28"/>
      <c r="C20" s="28"/>
      <c r="D20" s="28"/>
      <c r="E20" s="64" t="s">
        <v>333</v>
      </c>
      <c r="F20" s="28"/>
      <c r="G20" s="70"/>
      <c r="H20" s="70"/>
      <c r="I20" s="70"/>
      <c r="J20" s="28"/>
    </row>
    <row r="21" spans="1:12" x14ac:dyDescent="0.25">
      <c r="A21" s="28"/>
      <c r="B21" s="28"/>
      <c r="C21" s="28"/>
      <c r="D21" s="28"/>
      <c r="E21" s="28"/>
      <c r="F21" s="28"/>
      <c r="G21" s="217" t="s">
        <v>334</v>
      </c>
      <c r="H21" s="217"/>
      <c r="I21" s="217"/>
      <c r="J21" s="28"/>
    </row>
    <row r="22" spans="1:12" x14ac:dyDescent="0.25">
      <c r="A22" s="28"/>
      <c r="B22" s="28"/>
      <c r="C22" s="28"/>
      <c r="D22" s="28"/>
      <c r="E22" s="28"/>
      <c r="F22" s="28"/>
      <c r="G22" s="28"/>
      <c r="H22" s="28"/>
      <c r="I22" s="28"/>
      <c r="J22" s="28"/>
    </row>
    <row r="23" spans="1:12" x14ac:dyDescent="0.25">
      <c r="A23" s="28"/>
      <c r="B23" s="28"/>
      <c r="C23" s="28"/>
      <c r="D23" s="28"/>
      <c r="E23" s="28"/>
      <c r="F23" s="28"/>
      <c r="G23" s="28"/>
      <c r="H23" s="28"/>
      <c r="I23" s="28"/>
      <c r="J23" s="28"/>
    </row>
  </sheetData>
  <mergeCells count="9">
    <mergeCell ref="G21:I21"/>
    <mergeCell ref="A14:B14"/>
    <mergeCell ref="A17:B17"/>
    <mergeCell ref="A1:H1"/>
    <mergeCell ref="I1:J1"/>
    <mergeCell ref="A2:A3"/>
    <mergeCell ref="B2:B3"/>
    <mergeCell ref="C2:F2"/>
    <mergeCell ref="G2:J2"/>
  </mergeCells>
  <pageMargins left="0.7" right="0.7" top="0.75" bottom="0.75" header="0.3" footer="0.3"/>
  <pageSetup orientation="landscape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"/>
  <sheetViews>
    <sheetView workbookViewId="0">
      <selection activeCell="H9" sqref="H9"/>
    </sheetView>
  </sheetViews>
  <sheetFormatPr defaultRowHeight="15" x14ac:dyDescent="0.25"/>
  <cols>
    <col min="2" max="2" width="48.7109375" customWidth="1"/>
    <col min="3" max="3" width="20.85546875" customWidth="1"/>
  </cols>
  <sheetData>
    <row r="1" spans="1:3" ht="15.75" thickBot="1" x14ac:dyDescent="0.3"/>
    <row r="2" spans="1:3" ht="15" customHeight="1" x14ac:dyDescent="0.25">
      <c r="A2" s="232" t="s">
        <v>372</v>
      </c>
      <c r="B2" s="233"/>
      <c r="C2" s="234"/>
    </row>
    <row r="3" spans="1:3" ht="15.75" thickBot="1" x14ac:dyDescent="0.3">
      <c r="A3" s="235"/>
      <c r="B3" s="236"/>
      <c r="C3" s="237"/>
    </row>
    <row r="4" spans="1:3" ht="15.75" thickBot="1" x14ac:dyDescent="0.3">
      <c r="A4" s="28"/>
      <c r="B4" s="28"/>
      <c r="C4" s="28"/>
    </row>
    <row r="5" spans="1:3" x14ac:dyDescent="0.25">
      <c r="A5" s="38" t="s">
        <v>306</v>
      </c>
      <c r="B5" s="34" t="s">
        <v>356</v>
      </c>
      <c r="C5" s="35" t="s">
        <v>357</v>
      </c>
    </row>
    <row r="6" spans="1:3" x14ac:dyDescent="0.25">
      <c r="A6" s="39">
        <v>1</v>
      </c>
      <c r="B6" s="32" t="s">
        <v>358</v>
      </c>
      <c r="C6" s="120">
        <v>286</v>
      </c>
    </row>
    <row r="7" spans="1:3" x14ac:dyDescent="0.25">
      <c r="A7" s="39">
        <v>2</v>
      </c>
      <c r="B7" s="32" t="s">
        <v>359</v>
      </c>
      <c r="C7" s="120">
        <v>30</v>
      </c>
    </row>
    <row r="8" spans="1:3" x14ac:dyDescent="0.25">
      <c r="A8" s="39">
        <v>3</v>
      </c>
      <c r="B8" s="32" t="s">
        <v>360</v>
      </c>
      <c r="C8" s="120">
        <v>26</v>
      </c>
    </row>
    <row r="9" spans="1:3" x14ac:dyDescent="0.25">
      <c r="A9" s="39">
        <v>4</v>
      </c>
      <c r="B9" s="32" t="s">
        <v>361</v>
      </c>
      <c r="C9" s="120">
        <v>49</v>
      </c>
    </row>
    <row r="10" spans="1:3" x14ac:dyDescent="0.25">
      <c r="A10" s="39">
        <v>5</v>
      </c>
      <c r="B10" s="32" t="s">
        <v>362</v>
      </c>
      <c r="C10" s="120">
        <v>84</v>
      </c>
    </row>
    <row r="11" spans="1:3" x14ac:dyDescent="0.25">
      <c r="A11" s="39">
        <v>6</v>
      </c>
      <c r="B11" s="32" t="s">
        <v>363</v>
      </c>
      <c r="C11" s="120">
        <v>17</v>
      </c>
    </row>
    <row r="12" spans="1:3" x14ac:dyDescent="0.25">
      <c r="A12" s="39">
        <v>7</v>
      </c>
      <c r="B12" s="32" t="s">
        <v>364</v>
      </c>
      <c r="C12" s="120">
        <v>23</v>
      </c>
    </row>
    <row r="13" spans="1:3" x14ac:dyDescent="0.25">
      <c r="A13" s="39">
        <v>8</v>
      </c>
      <c r="B13" s="32" t="s">
        <v>365</v>
      </c>
      <c r="C13" s="120">
        <v>10</v>
      </c>
    </row>
    <row r="14" spans="1:3" x14ac:dyDescent="0.25">
      <c r="A14" s="39">
        <v>9</v>
      </c>
      <c r="B14" s="32" t="s">
        <v>366</v>
      </c>
      <c r="C14" s="120">
        <v>9</v>
      </c>
    </row>
    <row r="15" spans="1:3" x14ac:dyDescent="0.25">
      <c r="A15" s="39">
        <v>10</v>
      </c>
      <c r="B15" s="32" t="s">
        <v>367</v>
      </c>
      <c r="C15" s="120">
        <v>144</v>
      </c>
    </row>
    <row r="16" spans="1:3" x14ac:dyDescent="0.25">
      <c r="A16" s="39">
        <v>11</v>
      </c>
      <c r="B16" s="32" t="s">
        <v>368</v>
      </c>
      <c r="C16" s="120">
        <v>63</v>
      </c>
    </row>
    <row r="17" spans="1:3" x14ac:dyDescent="0.25">
      <c r="A17" s="39">
        <v>12</v>
      </c>
      <c r="B17" s="32" t="s">
        <v>369</v>
      </c>
      <c r="C17" s="120">
        <v>12</v>
      </c>
    </row>
    <row r="18" spans="1:3" ht="29.25" customHeight="1" x14ac:dyDescent="0.25">
      <c r="A18" s="39">
        <v>13</v>
      </c>
      <c r="B18" s="33" t="s">
        <v>370</v>
      </c>
      <c r="C18" s="120">
        <v>28</v>
      </c>
    </row>
    <row r="19" spans="1:3" ht="29.25" customHeight="1" x14ac:dyDescent="0.25">
      <c r="A19" s="40">
        <v>14</v>
      </c>
      <c r="B19" s="41" t="s">
        <v>371</v>
      </c>
      <c r="C19" s="120">
        <v>3</v>
      </c>
    </row>
    <row r="20" spans="1:3" ht="15.75" thickBot="1" x14ac:dyDescent="0.3">
      <c r="A20" s="36"/>
      <c r="B20" s="37" t="s">
        <v>108</v>
      </c>
      <c r="C20" s="63">
        <f>SUM(C6:C19)</f>
        <v>784</v>
      </c>
    </row>
  </sheetData>
  <mergeCells count="1">
    <mergeCell ref="A2:C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POP</vt:lpstr>
      <vt:lpstr>PIR</vt:lpstr>
      <vt:lpstr>Neizmirene obaveze</vt:lpstr>
      <vt:lpstr>Zaduženja</vt:lpstr>
      <vt:lpstr>Broj zaposlenih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User</cp:lastModifiedBy>
  <cp:lastPrinted>2025-02-06T10:48:59Z</cp:lastPrinted>
  <dcterms:created xsi:type="dcterms:W3CDTF">2022-03-10T10:46:30Z</dcterms:created>
  <dcterms:modified xsi:type="dcterms:W3CDTF">2025-02-07T09:57:45Z</dcterms:modified>
</cp:coreProperties>
</file>