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POP" sheetId="1" r:id="rId1"/>
    <sheet name="PIR" sheetId="2" r:id="rId2"/>
    <sheet name="Neizmirene obaveze" sheetId="3" r:id="rId3"/>
    <sheet name="Zaduženja" sheetId="4" r:id="rId4"/>
    <sheet name="Broj zaposlenih" sheetId="5" r:id="rId5"/>
  </sheets>
  <calcPr calcId="181029"/>
</workbook>
</file>

<file path=xl/calcChain.xml><?xml version="1.0" encoding="utf-8"?>
<calcChain xmlns="http://schemas.openxmlformats.org/spreadsheetml/2006/main">
  <c r="D17" i="3" l="1"/>
  <c r="D7" i="3"/>
  <c r="E7" i="4" l="1"/>
  <c r="F7" i="4"/>
  <c r="F17" i="3"/>
  <c r="C9" i="2" l="1"/>
  <c r="C44" i="2"/>
  <c r="D102" i="2"/>
  <c r="C90" i="2"/>
  <c r="C89" i="2" s="1"/>
  <c r="C156" i="2"/>
  <c r="C149" i="2"/>
  <c r="C151" i="2"/>
  <c r="C150" i="2"/>
  <c r="C160" i="2"/>
  <c r="C159" i="2"/>
  <c r="D22" i="1"/>
  <c r="D17" i="1"/>
  <c r="F9" i="2" l="1"/>
  <c r="F90" i="2"/>
  <c r="D91" i="2"/>
  <c r="D90" i="2" s="1"/>
  <c r="D89" i="2" s="1"/>
  <c r="E91" i="2"/>
  <c r="F91" i="2" s="1"/>
  <c r="E97" i="2"/>
  <c r="F97" i="2" s="1"/>
  <c r="D97" i="2"/>
  <c r="C148" i="2"/>
  <c r="F22" i="3"/>
  <c r="F21" i="3"/>
  <c r="E22" i="3"/>
  <c r="E21" i="3"/>
  <c r="J7" i="4"/>
  <c r="F17" i="4"/>
  <c r="C20" i="5"/>
  <c r="C152" i="2"/>
  <c r="C146" i="2"/>
  <c r="C145" i="2"/>
  <c r="C143" i="2"/>
  <c r="C142" i="2" s="1"/>
  <c r="C164" i="2" s="1"/>
  <c r="F100" i="2"/>
  <c r="F99" i="2"/>
  <c r="F98" i="2"/>
  <c r="E98" i="2"/>
  <c r="D98" i="2"/>
  <c r="C98" i="2"/>
  <c r="E96" i="2"/>
  <c r="D96" i="2"/>
  <c r="C96" i="2"/>
  <c r="E90" i="2"/>
  <c r="F83" i="2"/>
  <c r="F82" i="2"/>
  <c r="F81" i="2"/>
  <c r="F79" i="2"/>
  <c r="F78" i="2"/>
  <c r="E76" i="2"/>
  <c r="F76" i="2" s="1"/>
  <c r="D76" i="2"/>
  <c r="C76" i="2"/>
  <c r="E75" i="2"/>
  <c r="F75" i="2" s="1"/>
  <c r="D75" i="2"/>
  <c r="C75" i="2"/>
  <c r="F74" i="2"/>
  <c r="F71" i="2"/>
  <c r="E71" i="2"/>
  <c r="D71" i="2"/>
  <c r="C71" i="2"/>
  <c r="F70" i="2"/>
  <c r="F69" i="2"/>
  <c r="F68" i="2"/>
  <c r="F67" i="2"/>
  <c r="F66" i="2"/>
  <c r="F65" i="2"/>
  <c r="F64" i="2"/>
  <c r="F63" i="2"/>
  <c r="E61" i="2"/>
  <c r="F61" i="2" s="1"/>
  <c r="D61" i="2"/>
  <c r="C61" i="2"/>
  <c r="E60" i="2"/>
  <c r="F60" i="2" s="1"/>
  <c r="D60" i="2"/>
  <c r="C60" i="2"/>
  <c r="F59" i="2"/>
  <c r="F58" i="2"/>
  <c r="F56" i="2"/>
  <c r="F55" i="2"/>
  <c r="F54" i="2"/>
  <c r="F53" i="2"/>
  <c r="F52" i="2"/>
  <c r="E51" i="2"/>
  <c r="D51" i="2"/>
  <c r="C51" i="2"/>
  <c r="F50" i="2"/>
  <c r="F47" i="2"/>
  <c r="E46" i="2"/>
  <c r="F46" i="2" s="1"/>
  <c r="D46" i="2"/>
  <c r="C46" i="2"/>
  <c r="F44" i="2"/>
  <c r="E43" i="2"/>
  <c r="D43" i="2"/>
  <c r="C43" i="2"/>
  <c r="F43" i="2" s="1"/>
  <c r="F39" i="2"/>
  <c r="E39" i="2"/>
  <c r="D39" i="2"/>
  <c r="C39" i="2"/>
  <c r="F38" i="2"/>
  <c r="F36" i="2"/>
  <c r="F33" i="2"/>
  <c r="F32" i="2"/>
  <c r="F31" i="2"/>
  <c r="F30" i="2"/>
  <c r="E29" i="2"/>
  <c r="D29" i="2"/>
  <c r="C29" i="2"/>
  <c r="F29" i="2" s="1"/>
  <c r="F28" i="2"/>
  <c r="F27" i="2"/>
  <c r="F26" i="2"/>
  <c r="F25" i="2"/>
  <c r="F23" i="2"/>
  <c r="E22" i="2"/>
  <c r="D22" i="2"/>
  <c r="C22" i="2"/>
  <c r="F21" i="2"/>
  <c r="F20" i="2"/>
  <c r="E14" i="2"/>
  <c r="D14" i="2"/>
  <c r="C14" i="2"/>
  <c r="F13" i="2"/>
  <c r="F12" i="2"/>
  <c r="F11" i="2"/>
  <c r="F10" i="2"/>
  <c r="E8" i="2"/>
  <c r="D8" i="2"/>
  <c r="C8" i="2"/>
  <c r="F8" i="2" s="1"/>
  <c r="D7" i="2"/>
  <c r="C54" i="1"/>
  <c r="F54" i="1" s="1"/>
  <c r="C53" i="1"/>
  <c r="F53" i="1" s="1"/>
  <c r="E52" i="1"/>
  <c r="F51" i="1"/>
  <c r="F50" i="1"/>
  <c r="F49" i="1"/>
  <c r="E48" i="1"/>
  <c r="D48" i="1"/>
  <c r="D44" i="1" s="1"/>
  <c r="C48" i="1"/>
  <c r="F47" i="1"/>
  <c r="F46" i="1"/>
  <c r="E45" i="1"/>
  <c r="D45" i="1"/>
  <c r="C45" i="1"/>
  <c r="C44" i="1" s="1"/>
  <c r="F43" i="1"/>
  <c r="F42" i="1"/>
  <c r="E41" i="1"/>
  <c r="D41" i="1"/>
  <c r="C41" i="1"/>
  <c r="F39" i="1"/>
  <c r="F38" i="1"/>
  <c r="E38" i="1"/>
  <c r="D38" i="1"/>
  <c r="C38" i="1"/>
  <c r="F37" i="1"/>
  <c r="E37" i="1"/>
  <c r="D37" i="1"/>
  <c r="C37" i="1"/>
  <c r="F36" i="1"/>
  <c r="F35" i="1"/>
  <c r="F34" i="1"/>
  <c r="F33" i="1"/>
  <c r="E32" i="1"/>
  <c r="D32" i="1"/>
  <c r="C32" i="1"/>
  <c r="F31" i="1"/>
  <c r="F30" i="1"/>
  <c r="F27" i="1"/>
  <c r="F25" i="1"/>
  <c r="F24" i="1"/>
  <c r="F23" i="1"/>
  <c r="E22" i="1"/>
  <c r="C22" i="1"/>
  <c r="C16" i="1" s="1"/>
  <c r="F20" i="1"/>
  <c r="F19" i="1"/>
  <c r="F18" i="1"/>
  <c r="E17" i="1"/>
  <c r="F17" i="1" s="1"/>
  <c r="D16" i="1"/>
  <c r="F14" i="1"/>
  <c r="F13" i="1"/>
  <c r="E12" i="1"/>
  <c r="D12" i="1"/>
  <c r="C12" i="1"/>
  <c r="F11" i="1"/>
  <c r="F10" i="1"/>
  <c r="F9" i="1"/>
  <c r="F8" i="1"/>
  <c r="E7" i="1"/>
  <c r="D7" i="1"/>
  <c r="C7" i="1"/>
  <c r="D6" i="2" l="1"/>
  <c r="F12" i="1"/>
  <c r="F32" i="1"/>
  <c r="F41" i="1"/>
  <c r="F45" i="1"/>
  <c r="F7" i="1"/>
  <c r="F48" i="1"/>
  <c r="D6" i="1"/>
  <c r="D58" i="1"/>
  <c r="E44" i="1"/>
  <c r="F44" i="1" s="1"/>
  <c r="E16" i="1"/>
  <c r="E6" i="1" s="1"/>
  <c r="E58" i="1" s="1"/>
  <c r="F96" i="2"/>
  <c r="F51" i="2"/>
  <c r="C7" i="2"/>
  <c r="C6" i="2" s="1"/>
  <c r="C102" i="2" s="1"/>
  <c r="F22" i="2"/>
  <c r="F14" i="2"/>
  <c r="E7" i="2"/>
  <c r="E89" i="2"/>
  <c r="F89" i="2" s="1"/>
  <c r="C6" i="1"/>
  <c r="F22" i="1"/>
  <c r="C52" i="1"/>
  <c r="F52" i="1" s="1"/>
  <c r="F16" i="1" l="1"/>
  <c r="E6" i="2"/>
  <c r="E102" i="2" s="1"/>
  <c r="F7" i="2"/>
  <c r="C58" i="1"/>
  <c r="F58" i="1" s="1"/>
  <c r="F6" i="1"/>
  <c r="F6" i="2" l="1"/>
  <c r="F102" i="2" l="1"/>
  <c r="D4" i="3"/>
  <c r="H7" i="4" l="1"/>
  <c r="G7" i="4" l="1"/>
  <c r="F4" i="3"/>
  <c r="F24" i="4" l="1"/>
  <c r="D24" i="4"/>
  <c r="H22" i="4"/>
  <c r="H24" i="4" s="1"/>
  <c r="J17" i="4"/>
  <c r="I17" i="4"/>
  <c r="H17" i="4"/>
  <c r="G17" i="4"/>
  <c r="E17" i="4"/>
  <c r="D17" i="4"/>
  <c r="C17" i="4"/>
  <c r="J10" i="4"/>
  <c r="I10" i="4"/>
  <c r="H10" i="4"/>
  <c r="G10" i="4"/>
  <c r="F10" i="4"/>
  <c r="E10" i="4"/>
  <c r="D10" i="4"/>
  <c r="C10" i="4"/>
  <c r="J9" i="4"/>
  <c r="I9" i="4"/>
  <c r="H9" i="4"/>
  <c r="G9" i="4"/>
  <c r="F9" i="4"/>
  <c r="E9" i="4"/>
  <c r="D9" i="4"/>
  <c r="C9" i="4"/>
  <c r="J5" i="4"/>
  <c r="J4" i="4" s="1"/>
  <c r="J14" i="4" s="1"/>
  <c r="I5" i="4"/>
  <c r="H5" i="4"/>
  <c r="G5" i="4"/>
  <c r="G4" i="4" s="1"/>
  <c r="G14" i="4" s="1"/>
  <c r="E5" i="4"/>
  <c r="E4" i="4" s="1"/>
  <c r="D5" i="4"/>
  <c r="C5" i="4"/>
  <c r="C4" i="4" s="1"/>
  <c r="C14" i="4" s="1"/>
  <c r="I4" i="4"/>
  <c r="I14" i="4" s="1"/>
  <c r="H4" i="4"/>
  <c r="H14" i="4" s="1"/>
  <c r="D4" i="4"/>
  <c r="D14" i="4" s="1"/>
  <c r="F24" i="3"/>
  <c r="E24" i="3"/>
  <c r="D24" i="3"/>
  <c r="G22" i="3"/>
  <c r="G21" i="3"/>
  <c r="F11" i="3"/>
  <c r="D11" i="3"/>
  <c r="F5" i="4" l="1"/>
  <c r="F4" i="4" s="1"/>
  <c r="F14" i="4" s="1"/>
  <c r="E14" i="4"/>
  <c r="G24" i="3"/>
</calcChain>
</file>

<file path=xl/comments1.xml><?xml version="1.0" encoding="utf-8"?>
<comments xmlns="http://schemas.openxmlformats.org/spreadsheetml/2006/main">
  <authors>
    <author>korisnik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povučeni iznos od 750.000,00 € i 7.717,73 € interkalarna kamata koja je pripisana glavnici kredita
</t>
        </r>
      </text>
    </comment>
  </commentList>
</comments>
</file>

<file path=xl/sharedStrings.xml><?xml version="1.0" encoding="utf-8"?>
<sst xmlns="http://schemas.openxmlformats.org/spreadsheetml/2006/main" count="461" uniqueCount="393">
  <si>
    <t>OBRAZAC POP</t>
  </si>
  <si>
    <t>OPŠTINA BERANE</t>
  </si>
  <si>
    <t>PRIHODI</t>
  </si>
  <si>
    <t>Godišnji plan budžeta</t>
  </si>
  <si>
    <t>% ostvarenja godišnjeg budžeta</t>
  </si>
  <si>
    <t>71</t>
  </si>
  <si>
    <t>Tekući prihodi</t>
  </si>
  <si>
    <t>711</t>
  </si>
  <si>
    <t>Porezi</t>
  </si>
  <si>
    <t>7111</t>
  </si>
  <si>
    <t>Porez na dohodak fizičkih lica</t>
  </si>
  <si>
    <t>71131</t>
  </si>
  <si>
    <t>Porez na nepokretnosti</t>
  </si>
  <si>
    <t>71132</t>
  </si>
  <si>
    <t>Porez na promet nepokretnosti</t>
  </si>
  <si>
    <t>71175</t>
  </si>
  <si>
    <t>Prirez porezu na dohodak fizičkih lica</t>
  </si>
  <si>
    <t>713</t>
  </si>
  <si>
    <t>Takse</t>
  </si>
  <si>
    <t>71312</t>
  </si>
  <si>
    <t>Lokalne administrativne takse</t>
  </si>
  <si>
    <t>7135</t>
  </si>
  <si>
    <t>Lokalne komunalne takse</t>
  </si>
  <si>
    <t>7136</t>
  </si>
  <si>
    <t>Ostale takse</t>
  </si>
  <si>
    <t>714</t>
  </si>
  <si>
    <t>Naknade</t>
  </si>
  <si>
    <t>7141</t>
  </si>
  <si>
    <t>Naknada za korišćenje dobara od opšteg interesa</t>
  </si>
  <si>
    <t>71411</t>
  </si>
  <si>
    <t>Naknada za korišćenje voda</t>
  </si>
  <si>
    <t>71412</t>
  </si>
  <si>
    <t>Naknada za izvađeni materijal iz vodotoka</t>
  </si>
  <si>
    <t>71413</t>
  </si>
  <si>
    <t>Naknada za zaštitu voda od zagađivanja</t>
  </si>
  <si>
    <t>71414</t>
  </si>
  <si>
    <t>Naknada za korišćenje rezultata geoloških istraživanja</t>
  </si>
  <si>
    <t>7142</t>
  </si>
  <si>
    <t>Naknade za korišćenje prirodnih dobara</t>
  </si>
  <si>
    <t>71421</t>
  </si>
  <si>
    <t>Naknada za korišćenje šuma</t>
  </si>
  <si>
    <t>71423</t>
  </si>
  <si>
    <t>Naknada za korišćenje rudnog bogatstva</t>
  </si>
  <si>
    <t>71424</t>
  </si>
  <si>
    <t>Naknada za korišćenje mineralnih sirovina</t>
  </si>
  <si>
    <t>7146</t>
  </si>
  <si>
    <t>Naknada za komunalno opremanje građevinskog zemljišta</t>
  </si>
  <si>
    <t>7147</t>
  </si>
  <si>
    <t>Naknade za izgradnju i održavanje lokalnih puteva</t>
  </si>
  <si>
    <t>7148</t>
  </si>
  <si>
    <t>Naknada za puteve</t>
  </si>
  <si>
    <t>7149</t>
  </si>
  <si>
    <t>Ostale naknade</t>
  </si>
  <si>
    <t>715</t>
  </si>
  <si>
    <t>Ostali prihodi</t>
  </si>
  <si>
    <t>7151</t>
  </si>
  <si>
    <t>Prihodi od kapitala(od kamata, akcija i udjela u dobiti i rente)</t>
  </si>
  <si>
    <t>7152</t>
  </si>
  <si>
    <t>Novčane kazne i oduzete imovinske koristi</t>
  </si>
  <si>
    <t>7153</t>
  </si>
  <si>
    <t>Prihodi koje organi ostvaruju vršenjem svoje djelatnosti</t>
  </si>
  <si>
    <t>7155</t>
  </si>
  <si>
    <t>72</t>
  </si>
  <si>
    <t>Primici od prodaje imovine</t>
  </si>
  <si>
    <t>721</t>
  </si>
  <si>
    <t>Primici od prodaje nefinansijske imovine</t>
  </si>
  <si>
    <t>7211</t>
  </si>
  <si>
    <t>Prodaja nepokretnosti</t>
  </si>
  <si>
    <t>722</t>
  </si>
  <si>
    <t>Primici od prodaje finansijske imovine</t>
  </si>
  <si>
    <t>73</t>
  </si>
  <si>
    <t>Primici od otplate kredita i sredstva prenesena iz prethodne godine</t>
  </si>
  <si>
    <t>731</t>
  </si>
  <si>
    <t>Primici od otplate kredita</t>
  </si>
  <si>
    <t>732</t>
  </si>
  <si>
    <t>Sredstva prenesena iz prethodne godine</t>
  </si>
  <si>
    <t>74</t>
  </si>
  <si>
    <t>Donacije i transferi</t>
  </si>
  <si>
    <t>741</t>
  </si>
  <si>
    <t>Donacije</t>
  </si>
  <si>
    <t>7411</t>
  </si>
  <si>
    <t>Tekuće donacije</t>
  </si>
  <si>
    <t>7412</t>
  </si>
  <si>
    <t>Kapitalne donacije</t>
  </si>
  <si>
    <t>742</t>
  </si>
  <si>
    <t>Transferi</t>
  </si>
  <si>
    <t>7421</t>
  </si>
  <si>
    <t>Transferi od budžeta Države</t>
  </si>
  <si>
    <t>7425</t>
  </si>
  <si>
    <t>Transferi od Zavoda za zapošljavanje Crne Gore</t>
  </si>
  <si>
    <t>7426</t>
  </si>
  <si>
    <t>Transferi od Egalizacionog fonda</t>
  </si>
  <si>
    <t>75</t>
  </si>
  <si>
    <t>Pozajmice i krediti</t>
  </si>
  <si>
    <t>751</t>
  </si>
  <si>
    <t>7511</t>
  </si>
  <si>
    <t>Pozajmice i krediti od domaćih izvora</t>
  </si>
  <si>
    <t>7512</t>
  </si>
  <si>
    <t>Pozajmice i krediti od inostranih izvora</t>
  </si>
  <si>
    <t>7</t>
  </si>
  <si>
    <t>UKUPNI PRIHODI (71 + 72 + 73 + 74 + 75)</t>
  </si>
  <si>
    <t>Naknada za korišćenje luke - nautički turizam</t>
  </si>
  <si>
    <t>71464</t>
  </si>
  <si>
    <t>Naknada za izgradnju javnih garaža</t>
  </si>
  <si>
    <t>75111</t>
  </si>
  <si>
    <t>75112</t>
  </si>
  <si>
    <t>Pozajmice i krediti od domaćih finansijskih institucija</t>
  </si>
  <si>
    <t>Pozajmice i krediti od drugih nivoa vlasti</t>
  </si>
  <si>
    <t>UKUPNO:</t>
  </si>
  <si>
    <t>Otplata dugova</t>
  </si>
  <si>
    <t>Kapitalni izdaci</t>
  </si>
  <si>
    <t>Ostali transferi</t>
  </si>
  <si>
    <t>Transferi institucijama, pojedincima, nevladinom i javnom sektoru</t>
  </si>
  <si>
    <t>Transferi za socijalnu zaštitu</t>
  </si>
  <si>
    <t xml:space="preserve">       Izdaci po osnovu troškova sudskih postupaka</t>
  </si>
  <si>
    <t>Ostali izdaci</t>
  </si>
  <si>
    <t>Subvencije</t>
  </si>
  <si>
    <t>Renta</t>
  </si>
  <si>
    <t>Kamate</t>
  </si>
  <si>
    <t>Rashodi za tekuće održavanje</t>
  </si>
  <si>
    <t>Rashodi za usluge</t>
  </si>
  <si>
    <t>Rashodi za materijal</t>
  </si>
  <si>
    <t>Ostala lična primanja</t>
  </si>
  <si>
    <t xml:space="preserve">    Reprogram Poreskog duga po Protokolu</t>
  </si>
  <si>
    <t xml:space="preserve">    Opštinski prirez</t>
  </si>
  <si>
    <t xml:space="preserve">    Doprinosi na teret poslodavca</t>
  </si>
  <si>
    <t xml:space="preserve">    Doprinosi na teret zaposlenog</t>
  </si>
  <si>
    <t xml:space="preserve">    Porez na zarade</t>
  </si>
  <si>
    <t xml:space="preserve">    Neto zarade</t>
  </si>
  <si>
    <t>Bruto zarade i doprinosi na teret poslodavca</t>
  </si>
  <si>
    <t>Otplata obaveza iz prethodnog perioda - analitika</t>
  </si>
  <si>
    <t>Napomena uz izvještaj: analitički pregled izdatka 463 - Otplata obaveza iz prethodnog perioda</t>
  </si>
  <si>
    <t>UKUPNI RASHODI (I+II+III+IV+V)</t>
  </si>
  <si>
    <t/>
  </si>
  <si>
    <t>Ostale rezerve</t>
  </si>
  <si>
    <t>473</t>
  </si>
  <si>
    <t>Stalna budžetska rezerva</t>
  </si>
  <si>
    <t>472</t>
  </si>
  <si>
    <t>Tekuća budžetska rezerva</t>
  </si>
  <si>
    <t>471</t>
  </si>
  <si>
    <t>Rezerve</t>
  </si>
  <si>
    <t>V</t>
  </si>
  <si>
    <t>Otplata obaveza iz prethodnog perioda</t>
  </si>
  <si>
    <t>463-0</t>
  </si>
  <si>
    <t>463</t>
  </si>
  <si>
    <t>Otplata garancija u inostranstvu</t>
  </si>
  <si>
    <t>462-2</t>
  </si>
  <si>
    <t>Otplata garancija u zemlji</t>
  </si>
  <si>
    <t>462-1</t>
  </si>
  <si>
    <t>Otplata garancija</t>
  </si>
  <si>
    <t>462</t>
  </si>
  <si>
    <t>Otplata hartija od vrijednosti i kredita nerezidentima</t>
  </si>
  <si>
    <t>461-2</t>
  </si>
  <si>
    <t>Otplata hartija od vrijednosti i kredita rezidentima</t>
  </si>
  <si>
    <t>461-1</t>
  </si>
  <si>
    <t>Otplata duga</t>
  </si>
  <si>
    <t>461</t>
  </si>
  <si>
    <t>IV</t>
  </si>
  <si>
    <t>Pozajmice i krediti pojedincima</t>
  </si>
  <si>
    <t>451-3</t>
  </si>
  <si>
    <t>Pozajmice i krediti finansijskim institucijama</t>
  </si>
  <si>
    <t>451-2</t>
  </si>
  <si>
    <t>Pozajmice i krediti nefinansijskim institucijama</t>
  </si>
  <si>
    <t>451-1</t>
  </si>
  <si>
    <t>451</t>
  </si>
  <si>
    <t>III</t>
  </si>
  <si>
    <t>Ostali kapitalni izdaci</t>
  </si>
  <si>
    <t>441-9</t>
  </si>
  <si>
    <t>Investiciono održavanje</t>
  </si>
  <si>
    <t>441-6</t>
  </si>
  <si>
    <t>Izdaci za opremu</t>
  </si>
  <si>
    <t>441-5</t>
  </si>
  <si>
    <t>Izdaci za uređenje zemljišta</t>
  </si>
  <si>
    <t>441-4</t>
  </si>
  <si>
    <t>Izdaci za građevinske objekte</t>
  </si>
  <si>
    <t>441-3</t>
  </si>
  <si>
    <t>Izdaci za lokalnu infrastrukturu</t>
  </si>
  <si>
    <t>441-2</t>
  </si>
  <si>
    <t>Izdaci za infrastrukturu od opšteg značaja</t>
  </si>
  <si>
    <t>441-1</t>
  </si>
  <si>
    <t>441</t>
  </si>
  <si>
    <t>II</t>
  </si>
  <si>
    <t>Transferi javnim preduzećima</t>
  </si>
  <si>
    <t>432-6</t>
  </si>
  <si>
    <t>Transferi budžetu Države</t>
  </si>
  <si>
    <t>432-5</t>
  </si>
  <si>
    <t>Transferi opštinama</t>
  </si>
  <si>
    <t>432-4</t>
  </si>
  <si>
    <t>432</t>
  </si>
  <si>
    <t>Ostali transferi institucijama</t>
  </si>
  <si>
    <t>431-9</t>
  </si>
  <si>
    <t>Ostali transferi pojedincima</t>
  </si>
  <si>
    <t>431-8</t>
  </si>
  <si>
    <t>Transferi za lična primanja pripravnika</t>
  </si>
  <si>
    <t>431-7</t>
  </si>
  <si>
    <t>Transferi za jednokratne socijalne pomoći</t>
  </si>
  <si>
    <t>431-6</t>
  </si>
  <si>
    <t>Transferi političkim partijama , strankama i udruženjima</t>
  </si>
  <si>
    <t>431-5</t>
  </si>
  <si>
    <t>Transferi nevladinim organizacijama</t>
  </si>
  <si>
    <t>431-4</t>
  </si>
  <si>
    <t>Transferi institucijama kulture i sporta</t>
  </si>
  <si>
    <t>431-3</t>
  </si>
  <si>
    <t>Transferi obrazovanju</t>
  </si>
  <si>
    <t>431-2</t>
  </si>
  <si>
    <t>Transferi za zdravstvenu zaštitu</t>
  </si>
  <si>
    <t>431-1</t>
  </si>
  <si>
    <t>431</t>
  </si>
  <si>
    <t>43</t>
  </si>
  <si>
    <t>42</t>
  </si>
  <si>
    <t>Ostalo</t>
  </si>
  <si>
    <t>419-9</t>
  </si>
  <si>
    <t>419-8</t>
  </si>
  <si>
    <t>Komunalne naknade</t>
  </si>
  <si>
    <t>419-6</t>
  </si>
  <si>
    <t>Osiguranje</t>
  </si>
  <si>
    <t>419-4</t>
  </si>
  <si>
    <t>Izrada i održavanje softvera</t>
  </si>
  <si>
    <t>419-3</t>
  </si>
  <si>
    <t>Izdaci po osnovu troškova sudskih postupaka</t>
  </si>
  <si>
    <t>419-2</t>
  </si>
  <si>
    <t>Izdaci po osnovu isplate ugovora o djelu</t>
  </si>
  <si>
    <t>419-1</t>
  </si>
  <si>
    <t>419</t>
  </si>
  <si>
    <t>418</t>
  </si>
  <si>
    <t>Zakup zemljišta</t>
  </si>
  <si>
    <t>417-3</t>
  </si>
  <si>
    <t>Zakup opreme</t>
  </si>
  <si>
    <t>417-2</t>
  </si>
  <si>
    <t>Zakup objekata</t>
  </si>
  <si>
    <t>417-1</t>
  </si>
  <si>
    <t>417</t>
  </si>
  <si>
    <t>Kamate nerezidentima</t>
  </si>
  <si>
    <t>416-2</t>
  </si>
  <si>
    <t>Kamate rezidentima</t>
  </si>
  <si>
    <t>416-1</t>
  </si>
  <si>
    <t>416</t>
  </si>
  <si>
    <t>Tekuće održavanje opreme</t>
  </si>
  <si>
    <t>415-3</t>
  </si>
  <si>
    <t>Tekuće održavanje građevinskih objekata</t>
  </si>
  <si>
    <t>415-2</t>
  </si>
  <si>
    <t>Tekuće održavanje javne infrastrukture</t>
  </si>
  <si>
    <t>415-1</t>
  </si>
  <si>
    <t>415</t>
  </si>
  <si>
    <t>Ostale usluge</t>
  </si>
  <si>
    <t>414-9</t>
  </si>
  <si>
    <t>Usluge stručnog usavršavanja</t>
  </si>
  <si>
    <t>414-8</t>
  </si>
  <si>
    <t>Konsultantske usluge, projekti i studije</t>
  </si>
  <si>
    <t>414-7</t>
  </si>
  <si>
    <t>Advokatske, notarske i pravne usluge</t>
  </si>
  <si>
    <t>414-6</t>
  </si>
  <si>
    <t>Usluge prevoza</t>
  </si>
  <si>
    <t>414-5</t>
  </si>
  <si>
    <t>Bankarske usluge i negativne kursne razlike</t>
  </si>
  <si>
    <t>414-4</t>
  </si>
  <si>
    <t>Komunikacione usluge</t>
  </si>
  <si>
    <t>414-3</t>
  </si>
  <si>
    <t>Reprezentacija</t>
  </si>
  <si>
    <t>414-2</t>
  </si>
  <si>
    <t>Službena putovanja</t>
  </si>
  <si>
    <t>414-1</t>
  </si>
  <si>
    <t>414</t>
  </si>
  <si>
    <t>Ostali rashodi za materijal</t>
  </si>
  <si>
    <t>413-9</t>
  </si>
  <si>
    <t>Rashodi za gorivo</t>
  </si>
  <si>
    <t>413-5</t>
  </si>
  <si>
    <t>Rashodi za energiju</t>
  </si>
  <si>
    <t>413-4</t>
  </si>
  <si>
    <t>Materijal za posebne namjene</t>
  </si>
  <si>
    <t>413-3</t>
  </si>
  <si>
    <t>Materijal za zdravstvenu zaštitu</t>
  </si>
  <si>
    <t>413-2</t>
  </si>
  <si>
    <t>Administrativni materijal</t>
  </si>
  <si>
    <t>413-1</t>
  </si>
  <si>
    <t>413</t>
  </si>
  <si>
    <t>412-7</t>
  </si>
  <si>
    <t>Naknada skupštinskim poslanicima</t>
  </si>
  <si>
    <t>412-6</t>
  </si>
  <si>
    <t>Otpremnine</t>
  </si>
  <si>
    <t>412-5</t>
  </si>
  <si>
    <t>Jubilarne nagrade</t>
  </si>
  <si>
    <t>412-4</t>
  </si>
  <si>
    <t>Naknada za prevoz</t>
  </si>
  <si>
    <t>412-3</t>
  </si>
  <si>
    <t>Naknada za stanovanje i odvojeni život</t>
  </si>
  <si>
    <t>412-2</t>
  </si>
  <si>
    <t>Naknada za zimnicu</t>
  </si>
  <si>
    <t>412-1</t>
  </si>
  <si>
    <t>412</t>
  </si>
  <si>
    <t>Opštinski prirez</t>
  </si>
  <si>
    <t>411-5</t>
  </si>
  <si>
    <t>Doprinosi na teret poslodavca</t>
  </si>
  <si>
    <t>411-4</t>
  </si>
  <si>
    <t>Doprinosi na teret zaposlenog</t>
  </si>
  <si>
    <t>411-3</t>
  </si>
  <si>
    <t>Porez na zarade</t>
  </si>
  <si>
    <t>411-2</t>
  </si>
  <si>
    <t>Neto zarade</t>
  </si>
  <si>
    <t>411-1</t>
  </si>
  <si>
    <t>411</t>
  </si>
  <si>
    <t>Tekući izdaci</t>
  </si>
  <si>
    <t>41</t>
  </si>
  <si>
    <t>I</t>
  </si>
  <si>
    <t>% izvršenja godišnjeg budžeta</t>
  </si>
  <si>
    <t>Vrsta rashoda</t>
  </si>
  <si>
    <t>Redni broj</t>
  </si>
  <si>
    <t>OBRAZAC PIR</t>
  </si>
  <si>
    <t>OBRAZAC NEO</t>
  </si>
  <si>
    <t>Vrsta neizmirene obaveze</t>
  </si>
  <si>
    <t xml:space="preserve">Obaveze za tekuće rashode </t>
  </si>
  <si>
    <t>Obaveze za bruto zarade i doprinose na teret poslodavca</t>
  </si>
  <si>
    <t>Obaveze za ostala lična primanja</t>
  </si>
  <si>
    <t>Obaveze za ostale tekuće rashode</t>
  </si>
  <si>
    <t>Obaveze po transferima za socijalnu zaštitu</t>
  </si>
  <si>
    <t>Obaveze za transfere institucijama,pojedincima,NVO</t>
  </si>
  <si>
    <t>Obaveze za kapitalne izdatke</t>
  </si>
  <si>
    <t>Obaveze po pozajmicama i kreditima</t>
  </si>
  <si>
    <t>a)</t>
  </si>
  <si>
    <t>glavnica</t>
  </si>
  <si>
    <t>b)</t>
  </si>
  <si>
    <t>kamata</t>
  </si>
  <si>
    <t>VI</t>
  </si>
  <si>
    <t>Obaveze po osnovu otplate dugova</t>
  </si>
  <si>
    <t>VII</t>
  </si>
  <si>
    <t>Obaveze po osnovu reprogramiranog poreskog duga</t>
  </si>
  <si>
    <t>VIII</t>
  </si>
  <si>
    <t>Obaveze iz rezervi</t>
  </si>
  <si>
    <t>UKUPNE NEIZMIRENE OBAVEZE ( I+II+III+IV+V+VI+VII)</t>
  </si>
  <si>
    <t>Reprogramirani poreski dug</t>
  </si>
  <si>
    <t>ukupan iznos reprogramiranog poreskog duga</t>
  </si>
  <si>
    <t xml:space="preserve"> Opština Berane</t>
  </si>
  <si>
    <t>Preduzeća i ustanove čiji je osnivač Opština, za koje Opština vrši uplate po reprogramu</t>
  </si>
  <si>
    <t>mp</t>
  </si>
  <si>
    <t>Potpis ovlašćenog lica</t>
  </si>
  <si>
    <t>OBRAZAC BUZ</t>
  </si>
  <si>
    <t>Vrsta zaduženja</t>
  </si>
  <si>
    <t xml:space="preserve">Ugovoreni iznos sredstava </t>
  </si>
  <si>
    <t xml:space="preserve">Iznos povučenih sredstava </t>
  </si>
  <si>
    <t xml:space="preserve">Iznos otplaćenog duga po glavnici </t>
  </si>
  <si>
    <t xml:space="preserve">Stanje duga </t>
  </si>
  <si>
    <t>Domaći dug</t>
  </si>
  <si>
    <t xml:space="preserve">Krediti </t>
  </si>
  <si>
    <t>a</t>
  </si>
  <si>
    <t>Kratkoročni (glavnica)</t>
  </si>
  <si>
    <t>b</t>
  </si>
  <si>
    <t>Dugoročni (glavnica)</t>
  </si>
  <si>
    <t>Obveznice</t>
  </si>
  <si>
    <t xml:space="preserve"> </t>
  </si>
  <si>
    <t>Inostrani dug</t>
  </si>
  <si>
    <t>Krediti</t>
  </si>
  <si>
    <t xml:space="preserve">     UKUPNO (I+II)</t>
  </si>
  <si>
    <t>Domaće garancije</t>
  </si>
  <si>
    <t>Inostrane garancije</t>
  </si>
  <si>
    <t>UKUPNO IZDATE GARANCIJE (III+IV)</t>
  </si>
  <si>
    <t>Ostale pozajmice</t>
  </si>
  <si>
    <t>povučeni iznos</t>
  </si>
  <si>
    <t>iznos otplaćenog duga</t>
  </si>
  <si>
    <t>stanje duga</t>
  </si>
  <si>
    <t>Pozajmice iz Egalizacionog Fonda</t>
  </si>
  <si>
    <t>Pozajmice iz Fonda za podršku opštinama za predfinansiranje donatorskih projekata</t>
  </si>
  <si>
    <t xml:space="preserve">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</si>
  <si>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</si>
  <si>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Ostvareno u periodu od 01.12. do 31.12.2023. godine</t>
  </si>
  <si>
    <t>Ostvareno u periodu od 01.01. do 31.12.2023. godine</t>
  </si>
  <si>
    <t>Izvršenje u periodu od 01.12. do 31.12.2023. godine</t>
  </si>
  <si>
    <t>Izvršeno u periodu od 01.01. do 31.12.2023. godine</t>
  </si>
  <si>
    <t>Izvršenje u periodu od 01.01.-31.12.2023. godine</t>
  </si>
  <si>
    <t>Stanje neizmirenih obaveza opštine na 31.12.2023. god.</t>
  </si>
  <si>
    <t>Stanje neizmirenih obaveza javnih preduzeća i ustanova na 31.12.2023. god.</t>
  </si>
  <si>
    <t>dospjeli iznos reprogramiranog poreskog duga na kraju IV kvartala 2023. godine</t>
  </si>
  <si>
    <t>plaćeni iznos reprogramiranog poreskog duga  na kraju IV kvartala 2023. godine</t>
  </si>
  <si>
    <t>dospjeli neplaćeni iznos reprogramiranog porskog duga na kraju IV kvartala 2023. godine</t>
  </si>
  <si>
    <t>Naziv institucije</t>
  </si>
  <si>
    <t>Broj radnika:</t>
  </si>
  <si>
    <t>Opština Berane</t>
  </si>
  <si>
    <t>JU Centar za kulturu</t>
  </si>
  <si>
    <t>JU Polimski muzej</t>
  </si>
  <si>
    <t>DOO Sportski centar</t>
  </si>
  <si>
    <t>DOO Agencija za izgradnju i razvoj Berane</t>
  </si>
  <si>
    <t>Turistička organizacija Berane</t>
  </si>
  <si>
    <t xml:space="preserve">DOO Lokalni javni emiter Radio Berane </t>
  </si>
  <si>
    <t>DOO Benergo</t>
  </si>
  <si>
    <t>DOO Regionalni biznis centar</t>
  </si>
  <si>
    <t>DOO Komunalno Berane</t>
  </si>
  <si>
    <t>DOO Vodovod i kanalizacija Berane</t>
  </si>
  <si>
    <t xml:space="preserve">DOO Parking servis </t>
  </si>
  <si>
    <t>JU Dnevni centar za djecu i omladinu sa smetnjama i teškoćama u razvoju</t>
  </si>
  <si>
    <t>Opštinska organizacija crvenog krsta Berane</t>
  </si>
  <si>
    <t>Iznos duga opštine Berane po osnovu ostalih pozajmica na kraju IV kvartala 2023. godine</t>
  </si>
  <si>
    <t>Iznos zaduženja opštine na kraju IV kvartala 2023. god.</t>
  </si>
  <si>
    <t>Iznos zaduženja javnih preduzeća na kraju IV kvartala 2023. god.</t>
  </si>
  <si>
    <t>Broj zaposlenih Opštine Berane, javnih ustanova i preduzeća čiji je osnivač Opština na dan 31.12.2023.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</si>
</sst>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Te\x\t"/>
    <numFmt numFmtId="165" formatCode="#,##0.00\ &quot;€&quot;"/>
    <numFmt numFmtId="166" formatCode="0.000000000000"/>
    <numFmt numFmtId="167" formatCode="#,##0.000000000000"/>
    <numFmt numFmtId="168" formatCode="0.00000000000"/>
    <numFmt numFmtId="169" formatCode="#,##0.00000"/>
  </numFmts>
  <fonts count="29" x14ac:knownFonts="1">
    <font>
      <sz val="11"/>
      <name val="Calibri"/>
    </font>
    <font>
      <sz val="11"/>
      <color theme="1"/>
      <name val="Calibri"/>
      <family val="2"/>
      <scheme val="minor"/>
    </font>
    <font>
      <sz val="8"/>
      <name val="Cambria"/>
      <family val="1"/>
      <charset val="238"/>
    </font>
    <font>
      <b/>
      <sz val="8"/>
      <name val="Cambria"/>
      <family val="1"/>
    </font>
    <font>
      <sz val="8"/>
      <name val="Cambria"/>
      <family val="1"/>
    </font>
    <font>
      <b/>
      <sz val="9"/>
      <color theme="1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9"/>
      <name val="Cambria"/>
      <family val="1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sz val="10"/>
      <color indexed="8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1"/>
      <color indexed="8"/>
      <name val="Calibri"/>
      <family val="2"/>
    </font>
    <font>
      <b/>
      <sz val="11"/>
      <name val="Cambria"/>
      <family val="1"/>
    </font>
    <font>
      <sz val="9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9" fillId="0" borderId="0"/>
    <xf numFmtId="0" fontId="26" fillId="0" borderId="0">
      <alignment vertical="top"/>
    </xf>
    <xf numFmtId="0" fontId="27" fillId="0" borderId="0"/>
    <xf numFmtId="0" fontId="28" fillId="0" borderId="0">
      <alignment vertical="top"/>
    </xf>
  </cellStyleXfs>
  <cellXfs count="240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164" fontId="4" fillId="0" borderId="2" xfId="0" applyNumberFormat="1" applyFont="1" applyBorder="1" applyAlignment="1">
      <alignment horizontal="left" vertical="center" wrapText="1"/>
    </xf>
    <xf numFmtId="49" fontId="4" fillId="0" borderId="0" xfId="0" applyNumberFormat="1" applyFont="1"/>
    <xf numFmtId="49" fontId="8" fillId="0" borderId="0" xfId="0" applyNumberFormat="1" applyFont="1"/>
    <xf numFmtId="0" fontId="3" fillId="0" borderId="0" xfId="0" applyFont="1"/>
    <xf numFmtId="164" fontId="3" fillId="0" borderId="8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4" fontId="3" fillId="0" borderId="6" xfId="0" applyNumberFormat="1" applyFont="1" applyBorder="1" applyAlignment="1">
      <alignment horizontal="right" vertical="center" wrapText="1"/>
    </xf>
    <xf numFmtId="4" fontId="3" fillId="0" borderId="2" xfId="0" applyNumberFormat="1" applyFont="1" applyBorder="1"/>
    <xf numFmtId="4" fontId="4" fillId="0" borderId="2" xfId="0" applyNumberFormat="1" applyFont="1" applyBorder="1"/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0" fontId="10" fillId="0" borderId="0" xfId="0" applyFont="1"/>
    <xf numFmtId="0" fontId="11" fillId="0" borderId="0" xfId="1" applyFont="1"/>
    <xf numFmtId="0" fontId="12" fillId="0" borderId="0" xfId="1" applyFont="1"/>
    <xf numFmtId="0" fontId="15" fillId="0" borderId="3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/>
    </xf>
    <xf numFmtId="4" fontId="12" fillId="0" borderId="0" xfId="1" applyNumberFormat="1" applyFont="1"/>
    <xf numFmtId="16" fontId="16" fillId="0" borderId="7" xfId="1" applyNumberFormat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1"/>
    <xf numFmtId="0" fontId="1" fillId="0" borderId="0" xfId="1" applyAlignment="1">
      <alignment horizontal="center"/>
    </xf>
    <xf numFmtId="0" fontId="8" fillId="0" borderId="35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/>
    </xf>
    <xf numFmtId="0" fontId="8" fillId="0" borderId="40" xfId="2" applyFont="1" applyBorder="1"/>
    <xf numFmtId="0" fontId="8" fillId="0" borderId="22" xfId="2" applyFont="1" applyBorder="1" applyAlignment="1">
      <alignment horizontal="right"/>
    </xf>
    <xf numFmtId="0" fontId="8" fillId="0" borderId="20" xfId="2" applyFont="1" applyBorder="1"/>
    <xf numFmtId="0" fontId="21" fillId="0" borderId="22" xfId="2" applyFont="1" applyBorder="1" applyAlignment="1">
      <alignment horizontal="right"/>
    </xf>
    <xf numFmtId="0" fontId="21" fillId="0" borderId="20" xfId="2" applyFont="1" applyBorder="1"/>
    <xf numFmtId="0" fontId="8" fillId="0" borderId="22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4" xfId="2" applyFont="1" applyBorder="1"/>
    <xf numFmtId="0" fontId="19" fillId="0" borderId="0" xfId="2"/>
    <xf numFmtId="0" fontId="22" fillId="0" borderId="0" xfId="2" applyFont="1" applyAlignment="1">
      <alignment vertical="center"/>
    </xf>
    <xf numFmtId="0" fontId="23" fillId="0" borderId="0" xfId="2" applyFont="1"/>
    <xf numFmtId="4" fontId="23" fillId="0" borderId="0" xfId="2" applyNumberFormat="1" applyFont="1"/>
    <xf numFmtId="4" fontId="22" fillId="0" borderId="0" xfId="2" applyNumberFormat="1" applyFont="1"/>
    <xf numFmtId="0" fontId="1" fillId="0" borderId="30" xfId="1" applyBorder="1"/>
    <xf numFmtId="4" fontId="0" fillId="0" borderId="0" xfId="0" applyNumberFormat="1"/>
    <xf numFmtId="4" fontId="9" fillId="0" borderId="0" xfId="0" applyNumberFormat="1" applyFont="1"/>
    <xf numFmtId="166" fontId="2" fillId="0" borderId="0" xfId="0" applyNumberFormat="1" applyFont="1"/>
    <xf numFmtId="2" fontId="2" fillId="0" borderId="0" xfId="0" applyNumberFormat="1" applyFont="1"/>
    <xf numFmtId="167" fontId="2" fillId="0" borderId="0" xfId="0" applyNumberFormat="1" applyFont="1"/>
    <xf numFmtId="168" fontId="4" fillId="0" borderId="0" xfId="0" applyNumberFormat="1" applyFont="1"/>
    <xf numFmtId="4" fontId="10" fillId="0" borderId="0" xfId="0" applyNumberFormat="1" applyFont="1"/>
    <xf numFmtId="169" fontId="10" fillId="0" borderId="0" xfId="0" applyNumberFormat="1" applyFont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" fillId="0" borderId="30" xfId="1" applyBorder="1" applyAlignment="1">
      <alignment horizont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/>
    </xf>
    <xf numFmtId="0" fontId="7" fillId="0" borderId="59" xfId="2" applyFont="1" applyBorder="1" applyAlignment="1">
      <alignment horizontal="left"/>
    </xf>
    <xf numFmtId="0" fontId="7" fillId="0" borderId="60" xfId="2" applyFont="1" applyBorder="1" applyAlignment="1">
      <alignment horizontal="left"/>
    </xf>
    <xf numFmtId="165" fontId="8" fillId="0" borderId="9" xfId="2" applyNumberFormat="1" applyFont="1" applyBorder="1"/>
    <xf numFmtId="165" fontId="21" fillId="0" borderId="8" xfId="2" applyNumberFormat="1" applyFont="1" applyBorder="1"/>
    <xf numFmtId="165" fontId="21" fillId="0" borderId="9" xfId="2" applyNumberFormat="1" applyFont="1" applyBorder="1"/>
    <xf numFmtId="165" fontId="21" fillId="0" borderId="10" xfId="2" applyNumberFormat="1" applyFont="1" applyBorder="1"/>
    <xf numFmtId="165" fontId="8" fillId="0" borderId="53" xfId="2" applyNumberFormat="1" applyFont="1" applyBorder="1"/>
    <xf numFmtId="165" fontId="8" fillId="0" borderId="54" xfId="2" applyNumberFormat="1" applyFont="1" applyBorder="1"/>
    <xf numFmtId="165" fontId="8" fillId="0" borderId="55" xfId="2" applyNumberFormat="1" applyFont="1" applyBorder="1"/>
    <xf numFmtId="165" fontId="21" fillId="0" borderId="42" xfId="2" applyNumberFormat="1" applyFont="1" applyBorder="1"/>
    <xf numFmtId="165" fontId="21" fillId="0" borderId="41" xfId="2" applyNumberFormat="1" applyFont="1" applyBorder="1"/>
    <xf numFmtId="165" fontId="21" fillId="0" borderId="50" xfId="2" applyNumberFormat="1" applyFont="1" applyBorder="1"/>
    <xf numFmtId="165" fontId="21" fillId="0" borderId="2" xfId="2" applyNumberFormat="1" applyFont="1" applyBorder="1"/>
    <xf numFmtId="165" fontId="21" fillId="0" borderId="7" xfId="2" applyNumberFormat="1" applyFont="1" applyBorder="1"/>
    <xf numFmtId="165" fontId="21" fillId="0" borderId="6" xfId="2" applyNumberFormat="1" applyFont="1" applyBorder="1"/>
    <xf numFmtId="165" fontId="8" fillId="0" borderId="2" xfId="2" applyNumberFormat="1" applyFont="1" applyBorder="1"/>
    <xf numFmtId="165" fontId="8" fillId="0" borderId="7" xfId="2" applyNumberFormat="1" applyFont="1" applyBorder="1"/>
    <xf numFmtId="165" fontId="8" fillId="0" borderId="6" xfId="2" applyNumberFormat="1" applyFont="1" applyBorder="1"/>
    <xf numFmtId="165" fontId="8" fillId="0" borderId="46" xfId="2" applyNumberFormat="1" applyFont="1" applyBorder="1"/>
    <xf numFmtId="165" fontId="8" fillId="0" borderId="47" xfId="2" applyNumberFormat="1" applyFont="1" applyBorder="1"/>
    <xf numFmtId="165" fontId="8" fillId="0" borderId="48" xfId="2" applyNumberFormat="1" applyFont="1" applyBorder="1"/>
    <xf numFmtId="165" fontId="8" fillId="0" borderId="49" xfId="2" applyNumberFormat="1" applyFont="1" applyBorder="1"/>
    <xf numFmtId="165" fontId="8" fillId="0" borderId="23" xfId="2" applyNumberFormat="1" applyFont="1" applyBorder="1"/>
    <xf numFmtId="165" fontId="8" fillId="0" borderId="42" xfId="2" applyNumberFormat="1" applyFont="1" applyBorder="1"/>
    <xf numFmtId="165" fontId="8" fillId="0" borderId="41" xfId="2" applyNumberFormat="1" applyFont="1" applyBorder="1"/>
    <xf numFmtId="165" fontId="8" fillId="0" borderId="43" xfId="2" applyNumberFormat="1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/>
    <xf numFmtId="0" fontId="6" fillId="0" borderId="2" xfId="0" applyFont="1" applyBorder="1" applyAlignment="1">
      <alignment horizontal="left" vertical="justify" wrapText="1"/>
    </xf>
    <xf numFmtId="0" fontId="5" fillId="0" borderId="2" xfId="0" applyFont="1" applyBorder="1"/>
    <xf numFmtId="49" fontId="2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1" fillId="0" borderId="2" xfId="1" applyBorder="1"/>
    <xf numFmtId="0" fontId="1" fillId="0" borderId="2" xfId="1" applyBorder="1" applyAlignment="1">
      <alignment wrapText="1"/>
    </xf>
    <xf numFmtId="0" fontId="9" fillId="0" borderId="4" xfId="1" applyFont="1" applyBorder="1"/>
    <xf numFmtId="0" fontId="9" fillId="0" borderId="5" xfId="1" applyFont="1" applyBorder="1"/>
    <xf numFmtId="0" fontId="1" fillId="0" borderId="8" xfId="1" applyBorder="1"/>
    <xf numFmtId="0" fontId="9" fillId="0" borderId="9" xfId="1" applyFont="1" applyBorder="1"/>
    <xf numFmtId="0" fontId="9" fillId="0" borderId="3" xfId="1" applyFont="1" applyBorder="1"/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165" fontId="18" fillId="0" borderId="0" xfId="1" applyNumberFormat="1" applyFont="1" applyAlignment="1">
      <alignment horizontal="center" vertical="center"/>
    </xf>
    <xf numFmtId="165" fontId="0" fillId="0" borderId="0" xfId="0" applyNumberFormat="1"/>
    <xf numFmtId="4" fontId="27" fillId="0" borderId="0" xfId="0" applyNumberFormat="1" applyFont="1"/>
    <xf numFmtId="4" fontId="3" fillId="0" borderId="9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/>
    <xf numFmtId="165" fontId="17" fillId="0" borderId="2" xfId="1" applyNumberFormat="1" applyFont="1" applyBorder="1" applyAlignment="1">
      <alignment horizontal="center" vertical="center"/>
    </xf>
    <xf numFmtId="165" fontId="18" fillId="0" borderId="2" xfId="1" applyNumberFormat="1" applyFont="1" applyBorder="1" applyAlignment="1">
      <alignment horizontal="center" vertical="center"/>
    </xf>
    <xf numFmtId="165" fontId="18" fillId="0" borderId="6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horizontal="center"/>
    </xf>
    <xf numFmtId="0" fontId="1" fillId="0" borderId="6" xfId="1" applyBorder="1" applyAlignment="1">
      <alignment vertical="center"/>
    </xf>
    <xf numFmtId="0" fontId="9" fillId="0" borderId="10" xfId="1" applyFont="1" applyBorder="1"/>
    <xf numFmtId="165" fontId="10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64" xfId="0" applyNumberFormat="1" applyFont="1" applyBorder="1" applyAlignment="1">
      <alignment horizontal="center" vertical="center" wrapText="1"/>
    </xf>
    <xf numFmtId="164" fontId="3" fillId="0" borderId="6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5" fontId="18" fillId="0" borderId="0" xfId="1" applyNumberFormat="1" applyFont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" fillId="0" borderId="0" xfId="1" applyAlignment="1">
      <alignment horizontal="center"/>
    </xf>
    <xf numFmtId="0" fontId="17" fillId="0" borderId="7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165" fontId="17" fillId="0" borderId="2" xfId="1" applyNumberFormat="1" applyFont="1" applyBorder="1" applyAlignment="1">
      <alignment horizontal="center" vertical="center" wrapText="1"/>
    </xf>
    <xf numFmtId="165" fontId="18" fillId="0" borderId="69" xfId="1" applyNumberFormat="1" applyFont="1" applyBorder="1" applyAlignment="1">
      <alignment horizontal="center" vertical="center"/>
    </xf>
    <xf numFmtId="165" fontId="18" fillId="0" borderId="70" xfId="1" applyNumberFormat="1" applyFont="1" applyBorder="1" applyAlignment="1">
      <alignment horizontal="center" vertical="center"/>
    </xf>
    <xf numFmtId="165" fontId="18" fillId="0" borderId="28" xfId="1" applyNumberFormat="1" applyFont="1" applyBorder="1" applyAlignment="1">
      <alignment horizontal="center" vertical="center"/>
    </xf>
    <xf numFmtId="165" fontId="18" fillId="0" borderId="29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right" vertical="center"/>
    </xf>
    <xf numFmtId="165" fontId="15" fillId="0" borderId="13" xfId="1" applyNumberFormat="1" applyFont="1" applyBorder="1" applyAlignment="1">
      <alignment horizontal="right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5" fillId="0" borderId="20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165" fontId="15" fillId="0" borderId="22" xfId="1" applyNumberFormat="1" applyFont="1" applyBorder="1" applyAlignment="1">
      <alignment horizontal="right" vertical="center"/>
    </xf>
    <xf numFmtId="165" fontId="15" fillId="0" borderId="23" xfId="1" applyNumberFormat="1" applyFont="1" applyBorder="1" applyAlignment="1">
      <alignment horizontal="right" vertical="center"/>
    </xf>
    <xf numFmtId="165" fontId="15" fillId="0" borderId="22" xfId="1" applyNumberFormat="1" applyFont="1" applyBorder="1" applyAlignment="1">
      <alignment horizontal="right"/>
    </xf>
    <xf numFmtId="165" fontId="15" fillId="0" borderId="23" xfId="1" applyNumberFormat="1" applyFont="1" applyBorder="1" applyAlignment="1">
      <alignment horizontal="right"/>
    </xf>
    <xf numFmtId="0" fontId="15" fillId="0" borderId="24" xfId="1" applyFont="1" applyBorder="1" applyAlignment="1">
      <alignment horizontal="left"/>
    </xf>
    <xf numFmtId="0" fontId="15" fillId="0" borderId="25" xfId="1" applyFont="1" applyBorder="1" applyAlignment="1">
      <alignment horizontal="left"/>
    </xf>
    <xf numFmtId="165" fontId="15" fillId="0" borderId="26" xfId="1" applyNumberFormat="1" applyFont="1" applyBorder="1" applyAlignment="1">
      <alignment horizontal="right" vertical="center"/>
    </xf>
    <xf numFmtId="165" fontId="15" fillId="0" borderId="27" xfId="1" applyNumberFormat="1" applyFont="1" applyBorder="1" applyAlignment="1">
      <alignment horizontal="right" vertical="center"/>
    </xf>
    <xf numFmtId="165" fontId="15" fillId="0" borderId="26" xfId="1" applyNumberFormat="1" applyFont="1" applyBorder="1" applyAlignment="1">
      <alignment horizontal="right"/>
    </xf>
    <xf numFmtId="165" fontId="15" fillId="0" borderId="27" xfId="1" applyNumberFormat="1" applyFont="1" applyBorder="1" applyAlignment="1">
      <alignment horizontal="right"/>
    </xf>
    <xf numFmtId="0" fontId="15" fillId="0" borderId="20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165" fontId="16" fillId="0" borderId="22" xfId="1" applyNumberFormat="1" applyFont="1" applyBorder="1" applyAlignment="1">
      <alignment horizontal="right" vertical="center"/>
    </xf>
    <xf numFmtId="165" fontId="16" fillId="0" borderId="23" xfId="1" applyNumberFormat="1" applyFont="1" applyBorder="1" applyAlignment="1">
      <alignment horizontal="right" vertical="center"/>
    </xf>
    <xf numFmtId="165" fontId="16" fillId="0" borderId="22" xfId="1" applyNumberFormat="1" applyFont="1" applyBorder="1" applyAlignment="1">
      <alignment horizontal="right"/>
    </xf>
    <xf numFmtId="165" fontId="16" fillId="0" borderId="23" xfId="1" applyNumberFormat="1" applyFont="1" applyBorder="1" applyAlignment="1">
      <alignment horizontal="right"/>
    </xf>
    <xf numFmtId="0" fontId="16" fillId="0" borderId="20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6" fillId="0" borderId="20" xfId="1" applyFont="1" applyBorder="1" applyAlignment="1">
      <alignment vertical="center" wrapText="1"/>
    </xf>
    <xf numFmtId="0" fontId="16" fillId="0" borderId="21" xfId="1" applyFont="1" applyBorder="1" applyAlignment="1">
      <alignment vertical="center" wrapText="1"/>
    </xf>
    <xf numFmtId="0" fontId="13" fillId="0" borderId="11" xfId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" fillId="0" borderId="62" xfId="1" applyBorder="1" applyAlignment="1">
      <alignment horizontal="center"/>
    </xf>
    <xf numFmtId="4" fontId="7" fillId="0" borderId="61" xfId="2" applyNumberFormat="1" applyFont="1" applyBorder="1" applyAlignment="1">
      <alignment horizontal="center"/>
    </xf>
    <xf numFmtId="4" fontId="7" fillId="0" borderId="60" xfId="2" applyNumberFormat="1" applyFont="1" applyBorder="1" applyAlignment="1">
      <alignment horizontal="center"/>
    </xf>
    <xf numFmtId="4" fontId="7" fillId="0" borderId="62" xfId="2" applyNumberFormat="1" applyFont="1" applyBorder="1" applyAlignment="1">
      <alignment horizontal="center"/>
    </xf>
    <xf numFmtId="4" fontId="7" fillId="0" borderId="63" xfId="2" applyNumberFormat="1" applyFont="1" applyBorder="1" applyAlignment="1">
      <alignment horizontal="center"/>
    </xf>
    <xf numFmtId="0" fontId="6" fillId="0" borderId="11" xfId="2" applyFont="1" applyBorder="1" applyAlignment="1">
      <alignment horizontal="left"/>
    </xf>
    <xf numFmtId="0" fontId="6" fillId="0" borderId="12" xfId="2" applyFont="1" applyBorder="1" applyAlignment="1">
      <alignment horizontal="left"/>
    </xf>
    <xf numFmtId="165" fontId="6" fillId="0" borderId="11" xfId="2" applyNumberFormat="1" applyFont="1" applyBorder="1" applyAlignment="1">
      <alignment horizontal="center"/>
    </xf>
    <xf numFmtId="165" fontId="6" fillId="0" borderId="13" xfId="2" applyNumberFormat="1" applyFont="1" applyBorder="1" applyAlignment="1">
      <alignment horizontal="center"/>
    </xf>
    <xf numFmtId="0" fontId="7" fillId="0" borderId="22" xfId="2" applyFont="1" applyBorder="1" applyAlignment="1">
      <alignment horizontal="left"/>
    </xf>
    <xf numFmtId="0" fontId="7" fillId="0" borderId="58" xfId="2" applyFont="1" applyBorder="1" applyAlignment="1">
      <alignment horizontal="left"/>
    </xf>
    <xf numFmtId="4" fontId="7" fillId="0" borderId="20" xfId="2" applyNumberFormat="1" applyFont="1" applyBorder="1" applyAlignment="1">
      <alignment horizontal="center"/>
    </xf>
    <xf numFmtId="4" fontId="7" fillId="0" borderId="58" xfId="2" applyNumberFormat="1" applyFont="1" applyBorder="1" applyAlignment="1">
      <alignment horizontal="center"/>
    </xf>
    <xf numFmtId="4" fontId="7" fillId="0" borderId="21" xfId="2" applyNumberFormat="1" applyFont="1" applyBorder="1" applyAlignment="1">
      <alignment horizontal="center"/>
    </xf>
    <xf numFmtId="4" fontId="7" fillId="0" borderId="23" xfId="2" applyNumberFormat="1" applyFont="1" applyBorder="1" applyAlignment="1">
      <alignment horizontal="center"/>
    </xf>
    <xf numFmtId="0" fontId="7" fillId="0" borderId="22" xfId="2" applyFont="1" applyBorder="1" applyAlignment="1">
      <alignment horizontal="left" wrapText="1"/>
    </xf>
    <xf numFmtId="0" fontId="7" fillId="0" borderId="58" xfId="2" applyFont="1" applyBorder="1" applyAlignment="1">
      <alignment horizontal="left" wrapText="1"/>
    </xf>
    <xf numFmtId="0" fontId="8" fillId="0" borderId="44" xfId="2" applyFont="1" applyBorder="1" applyAlignment="1">
      <alignment horizontal="left"/>
    </xf>
    <xf numFmtId="0" fontId="8" fillId="0" borderId="45" xfId="2" applyFont="1" applyBorder="1" applyAlignment="1">
      <alignment horizontal="left"/>
    </xf>
    <xf numFmtId="0" fontId="8" fillId="0" borderId="51" xfId="2" applyFont="1" applyBorder="1" applyAlignment="1">
      <alignment horizontal="center"/>
    </xf>
    <xf numFmtId="0" fontId="8" fillId="0" borderId="52" xfId="2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39" xfId="2" applyFont="1" applyBorder="1" applyAlignment="1">
      <alignment horizontal="left"/>
    </xf>
    <xf numFmtId="0" fontId="7" fillId="0" borderId="56" xfId="2" applyFont="1" applyBorder="1" applyAlignment="1">
      <alignment horizontal="left"/>
    </xf>
    <xf numFmtId="0" fontId="7" fillId="0" borderId="40" xfId="2" applyFont="1" applyBorder="1" applyAlignment="1">
      <alignment horizontal="center"/>
    </xf>
    <xf numFmtId="0" fontId="7" fillId="0" borderId="56" xfId="2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57" xfId="2" applyFont="1" applyBorder="1" applyAlignment="1">
      <alignment horizontal="center"/>
    </xf>
    <xf numFmtId="0" fontId="20" fillId="0" borderId="11" xfId="2" applyFont="1" applyBorder="1" applyAlignment="1">
      <alignment horizontal="center"/>
    </xf>
    <xf numFmtId="0" fontId="20" fillId="0" borderId="12" xfId="2" applyFont="1" applyBorder="1" applyAlignment="1">
      <alignment horizontal="center"/>
    </xf>
    <xf numFmtId="0" fontId="20" fillId="0" borderId="13" xfId="2" applyFont="1" applyBorder="1" applyAlignment="1">
      <alignment horizontal="center"/>
    </xf>
    <xf numFmtId="0" fontId="20" fillId="2" borderId="11" xfId="2" applyFont="1" applyFill="1" applyBorder="1" applyAlignment="1">
      <alignment horizontal="center"/>
    </xf>
    <xf numFmtId="0" fontId="20" fillId="2" borderId="13" xfId="2" applyFont="1" applyFill="1" applyBorder="1" applyAlignment="1">
      <alignment horizontal="center"/>
    </xf>
    <xf numFmtId="0" fontId="8" fillId="0" borderId="3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49" fontId="8" fillId="0" borderId="16" xfId="2" applyNumberFormat="1" applyFont="1" applyBorder="1" applyAlignment="1">
      <alignment horizontal="center" vertical="center" wrapText="1"/>
    </xf>
    <xf numFmtId="49" fontId="8" fillId="0" borderId="17" xfId="2" applyNumberFormat="1" applyFont="1" applyBorder="1" applyAlignment="1">
      <alignment horizontal="center" vertical="center" wrapText="1"/>
    </xf>
    <xf numFmtId="49" fontId="8" fillId="0" borderId="19" xfId="2" applyNumberFormat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wrapText="1"/>
    </xf>
    <xf numFmtId="0" fontId="9" fillId="0" borderId="66" xfId="1" applyFont="1" applyBorder="1" applyAlignment="1">
      <alignment horizontal="center" wrapText="1"/>
    </xf>
    <xf numFmtId="0" fontId="9" fillId="0" borderId="15" xfId="1" applyFont="1" applyBorder="1" applyAlignment="1">
      <alignment horizontal="center" wrapText="1"/>
    </xf>
    <xf numFmtId="0" fontId="9" fillId="0" borderId="51" xfId="1" applyFont="1" applyBorder="1" applyAlignment="1">
      <alignment horizontal="center" wrapText="1"/>
    </xf>
    <xf numFmtId="0" fontId="9" fillId="0" borderId="67" xfId="1" applyFont="1" applyBorder="1" applyAlignment="1">
      <alignment horizontal="center" wrapText="1"/>
    </xf>
    <xf numFmtId="0" fontId="9" fillId="0" borderId="68" xfId="1" applyFont="1" applyBorder="1" applyAlignment="1">
      <alignment horizontal="center" wrapText="1"/>
    </xf>
  </cellXfs>
  <cellStyles count="6">
    <cellStyle name="Normal" xfId="0" builtinId="0"/>
    <cellStyle name="Normal 2" xfId="1"/>
    <cellStyle name="Normal 2 2" xfId="3"/>
    <cellStyle name="Normal 2 2 2" xfId="5"/>
    <cellStyle name="Normal 3" xfId="4"/>
    <cellStyle name="Normal_buz final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1" workbookViewId="0">
      <selection activeCell="E20" sqref="E20"/>
    </sheetView>
  </sheetViews>
  <sheetFormatPr defaultColWidth="9.140625" defaultRowHeight="10.5" x14ac:dyDescent="0.15"/>
  <cols>
    <col min="1" max="1" width="9" style="11" customWidth="1"/>
    <col min="2" max="2" width="40" style="1" customWidth="1"/>
    <col min="3" max="3" width="12.28515625" style="1" customWidth="1"/>
    <col min="4" max="4" width="12.5703125" style="1" customWidth="1"/>
    <col min="5" max="5" width="12.140625" style="1" customWidth="1"/>
    <col min="6" max="6" width="9" style="9" customWidth="1"/>
    <col min="7" max="7" width="9.140625" style="1" customWidth="1"/>
    <col min="8" max="16384" width="9.140625" style="1"/>
  </cols>
  <sheetData>
    <row r="1" spans="1:6" ht="11.25" thickBot="1" x14ac:dyDescent="0.2"/>
    <row r="2" spans="1:6" ht="17.25" customHeight="1" thickBot="1" x14ac:dyDescent="0.2">
      <c r="E2" s="131" t="s">
        <v>0</v>
      </c>
      <c r="F2" s="131" t="s">
        <v>0</v>
      </c>
    </row>
    <row r="3" spans="1:6" ht="11.25" thickBot="1" x14ac:dyDescent="0.2"/>
    <row r="4" spans="1:6" ht="24.75" customHeight="1" x14ac:dyDescent="0.15">
      <c r="A4" s="132" t="s">
        <v>1</v>
      </c>
      <c r="B4" s="133" t="s">
        <v>1</v>
      </c>
      <c r="C4" s="133" t="s">
        <v>1</v>
      </c>
      <c r="D4" s="133" t="s">
        <v>1</v>
      </c>
      <c r="E4" s="133" t="s">
        <v>1</v>
      </c>
      <c r="F4" s="134" t="s">
        <v>1</v>
      </c>
    </row>
    <row r="5" spans="1:6" ht="55.5" customHeight="1" x14ac:dyDescent="0.15">
      <c r="A5" s="103"/>
      <c r="B5" s="3" t="s">
        <v>2</v>
      </c>
      <c r="C5" s="3" t="s">
        <v>3</v>
      </c>
      <c r="D5" s="3" t="s">
        <v>363</v>
      </c>
      <c r="E5" s="3" t="s">
        <v>364</v>
      </c>
      <c r="F5" s="3" t="s">
        <v>4</v>
      </c>
    </row>
    <row r="6" spans="1:6" ht="13.5" customHeight="1" x14ac:dyDescent="0.15">
      <c r="A6" s="104" t="s">
        <v>5</v>
      </c>
      <c r="B6" s="4" t="s">
        <v>6</v>
      </c>
      <c r="C6" s="5">
        <f t="shared" ref="C6:E6" si="0">SUM(C7,C12,C16,C32)</f>
        <v>5613000</v>
      </c>
      <c r="D6" s="5">
        <f t="shared" si="0"/>
        <v>884565.25</v>
      </c>
      <c r="E6" s="5">
        <f t="shared" si="0"/>
        <v>5220910.79</v>
      </c>
      <c r="F6" s="5">
        <f>E6/C6*100</f>
        <v>93.014623017993941</v>
      </c>
    </row>
    <row r="7" spans="1:6" ht="10.5" customHeight="1" x14ac:dyDescent="0.15">
      <c r="A7" s="104" t="s">
        <v>7</v>
      </c>
      <c r="B7" s="4" t="s">
        <v>8</v>
      </c>
      <c r="C7" s="5">
        <f>SUM(C8:C11)</f>
        <v>4352000</v>
      </c>
      <c r="D7" s="5">
        <f>SUM(D8:D11)</f>
        <v>694112.13000000012</v>
      </c>
      <c r="E7" s="5">
        <f t="shared" ref="E7" si="1">SUM(E8:E11)</f>
        <v>3909554.04</v>
      </c>
      <c r="F7" s="5">
        <f t="shared" ref="F7:F54" si="2">E7/C7*100</f>
        <v>89.833502757352946</v>
      </c>
    </row>
    <row r="8" spans="1:6" x14ac:dyDescent="0.15">
      <c r="A8" s="105" t="s">
        <v>9</v>
      </c>
      <c r="B8" s="12" t="s">
        <v>10</v>
      </c>
      <c r="C8" s="64">
        <v>3412000</v>
      </c>
      <c r="D8" s="22">
        <v>496136.31000000006</v>
      </c>
      <c r="E8" s="64">
        <v>2935187.29</v>
      </c>
      <c r="F8" s="66">
        <f t="shared" si="2"/>
        <v>86.025418815943738</v>
      </c>
    </row>
    <row r="9" spans="1:6" x14ac:dyDescent="0.15">
      <c r="A9" s="105" t="s">
        <v>11</v>
      </c>
      <c r="B9" s="2" t="s">
        <v>12</v>
      </c>
      <c r="C9" s="64">
        <v>550000</v>
      </c>
      <c r="D9" s="22">
        <v>107555.05000000005</v>
      </c>
      <c r="E9" s="64">
        <v>561170.67000000004</v>
      </c>
      <c r="F9" s="66">
        <f t="shared" si="2"/>
        <v>102.03103090909092</v>
      </c>
    </row>
    <row r="10" spans="1:6" x14ac:dyDescent="0.15">
      <c r="A10" s="105" t="s">
        <v>13</v>
      </c>
      <c r="B10" s="2" t="s">
        <v>14</v>
      </c>
      <c r="C10" s="64">
        <v>120000</v>
      </c>
      <c r="D10" s="22">
        <v>28286.010000000009</v>
      </c>
      <c r="E10" s="64">
        <v>117951.71</v>
      </c>
      <c r="F10" s="66">
        <f t="shared" si="2"/>
        <v>98.293091666666683</v>
      </c>
    </row>
    <row r="11" spans="1:6" x14ac:dyDescent="0.15">
      <c r="A11" s="105" t="s">
        <v>15</v>
      </c>
      <c r="B11" s="2" t="s">
        <v>16</v>
      </c>
      <c r="C11" s="64">
        <v>270000</v>
      </c>
      <c r="D11" s="22">
        <v>62134.760000000009</v>
      </c>
      <c r="E11" s="64">
        <v>295244.37</v>
      </c>
      <c r="F11" s="66">
        <f t="shared" si="2"/>
        <v>109.34976666666667</v>
      </c>
    </row>
    <row r="12" spans="1:6" x14ac:dyDescent="0.15">
      <c r="A12" s="104" t="s">
        <v>17</v>
      </c>
      <c r="B12" s="4" t="s">
        <v>18</v>
      </c>
      <c r="C12" s="5">
        <f>SUM(C13:C15)</f>
        <v>85000</v>
      </c>
      <c r="D12" s="5">
        <f t="shared" ref="D12:E12" si="3">SUM(D13:D15)</f>
        <v>4834.7500000000036</v>
      </c>
      <c r="E12" s="5">
        <f t="shared" si="3"/>
        <v>78437.320000000007</v>
      </c>
      <c r="F12" s="5">
        <f>E12/C12*100</f>
        <v>92.279200000000003</v>
      </c>
    </row>
    <row r="13" spans="1:6" x14ac:dyDescent="0.15">
      <c r="A13" s="105" t="s">
        <v>19</v>
      </c>
      <c r="B13" s="2" t="s">
        <v>20</v>
      </c>
      <c r="C13" s="64">
        <v>25000</v>
      </c>
      <c r="D13" s="64">
        <v>1335.130000000001</v>
      </c>
      <c r="E13" s="64">
        <v>19559.66</v>
      </c>
      <c r="F13" s="66">
        <f t="shared" si="2"/>
        <v>78.238640000000004</v>
      </c>
    </row>
    <row r="14" spans="1:6" x14ac:dyDescent="0.15">
      <c r="A14" s="105" t="s">
        <v>21</v>
      </c>
      <c r="B14" s="2" t="s">
        <v>22</v>
      </c>
      <c r="C14" s="64">
        <v>60000</v>
      </c>
      <c r="D14" s="64">
        <v>3499.6200000000026</v>
      </c>
      <c r="E14" s="64">
        <v>58877.66</v>
      </c>
      <c r="F14" s="66">
        <f t="shared" si="2"/>
        <v>98.129433333333338</v>
      </c>
    </row>
    <row r="15" spans="1:6" x14ac:dyDescent="0.15">
      <c r="A15" s="105" t="s">
        <v>23</v>
      </c>
      <c r="B15" s="2" t="s">
        <v>24</v>
      </c>
      <c r="C15" s="65">
        <v>0</v>
      </c>
      <c r="D15" s="64">
        <v>0</v>
      </c>
      <c r="E15" s="64">
        <v>0</v>
      </c>
      <c r="F15" s="66">
        <v>0</v>
      </c>
    </row>
    <row r="16" spans="1:6" x14ac:dyDescent="0.15">
      <c r="A16" s="104" t="s">
        <v>25</v>
      </c>
      <c r="B16" s="4" t="s">
        <v>26</v>
      </c>
      <c r="C16" s="5">
        <f>SUM(C17,C22,C27,C29:C31)</f>
        <v>882000</v>
      </c>
      <c r="D16" s="5">
        <f>SUM(D17,D22,D27,D29:D31)</f>
        <v>72375.559999999954</v>
      </c>
      <c r="E16" s="5">
        <f t="shared" ref="E16" si="4">SUM(E17,E22,E27,E29:E31)</f>
        <v>954949.55</v>
      </c>
      <c r="F16" s="5">
        <f t="shared" si="2"/>
        <v>108.27092403628117</v>
      </c>
    </row>
    <row r="17" spans="1:7" x14ac:dyDescent="0.15">
      <c r="A17" s="106" t="s">
        <v>27</v>
      </c>
      <c r="B17" s="12" t="s">
        <v>28</v>
      </c>
      <c r="C17" s="66">
        <v>254000</v>
      </c>
      <c r="D17" s="66">
        <f t="shared" ref="D17:E17" si="5">SUM(D18:D21)</f>
        <v>25957.299999999988</v>
      </c>
      <c r="E17" s="66">
        <f t="shared" si="5"/>
        <v>242106.33</v>
      </c>
      <c r="F17" s="66">
        <f t="shared" si="2"/>
        <v>95.317452755905506</v>
      </c>
    </row>
    <row r="18" spans="1:7" x14ac:dyDescent="0.15">
      <c r="A18" s="105" t="s">
        <v>29</v>
      </c>
      <c r="B18" s="2" t="s">
        <v>30</v>
      </c>
      <c r="C18" s="64">
        <v>250000</v>
      </c>
      <c r="D18" s="22">
        <v>25957.299999999988</v>
      </c>
      <c r="E18" s="64">
        <v>241056.33</v>
      </c>
      <c r="F18" s="66">
        <f t="shared" si="2"/>
        <v>96.42253199999999</v>
      </c>
      <c r="G18" s="25"/>
    </row>
    <row r="19" spans="1:7" x14ac:dyDescent="0.15">
      <c r="A19" s="105" t="s">
        <v>31</v>
      </c>
      <c r="B19" s="2" t="s">
        <v>32</v>
      </c>
      <c r="C19" s="64">
        <v>1000</v>
      </c>
      <c r="D19" s="22">
        <v>0</v>
      </c>
      <c r="E19" s="64">
        <v>0</v>
      </c>
      <c r="F19" s="66">
        <f t="shared" si="2"/>
        <v>0</v>
      </c>
    </row>
    <row r="20" spans="1:7" x14ac:dyDescent="0.15">
      <c r="A20" s="105" t="s">
        <v>33</v>
      </c>
      <c r="B20" s="2" t="s">
        <v>34</v>
      </c>
      <c r="C20" s="64">
        <v>3000</v>
      </c>
      <c r="D20" s="22">
        <v>0</v>
      </c>
      <c r="E20" s="64">
        <v>1050</v>
      </c>
      <c r="F20" s="66">
        <f t="shared" si="2"/>
        <v>35</v>
      </c>
      <c r="G20" s="25"/>
    </row>
    <row r="21" spans="1:7" x14ac:dyDescent="0.15">
      <c r="A21" s="105" t="s">
        <v>35</v>
      </c>
      <c r="B21" s="2" t="s">
        <v>36</v>
      </c>
      <c r="C21" s="64">
        <v>0</v>
      </c>
      <c r="D21" s="22">
        <v>0</v>
      </c>
      <c r="E21" s="64">
        <v>0</v>
      </c>
      <c r="F21" s="66">
        <v>0</v>
      </c>
    </row>
    <row r="22" spans="1:7" x14ac:dyDescent="0.15">
      <c r="A22" s="106" t="s">
        <v>37</v>
      </c>
      <c r="B22" s="12" t="s">
        <v>38</v>
      </c>
      <c r="C22" s="66">
        <f>SUM(C23:C25)</f>
        <v>401000</v>
      </c>
      <c r="D22" s="66">
        <f t="shared" ref="D22:E22" si="6">SUM(D23:D25)</f>
        <v>35264.469999999972</v>
      </c>
      <c r="E22" s="66">
        <f t="shared" si="6"/>
        <v>435290.92</v>
      </c>
      <c r="F22" s="66">
        <f t="shared" si="2"/>
        <v>108.55135162094763</v>
      </c>
    </row>
    <row r="23" spans="1:7" x14ac:dyDescent="0.15">
      <c r="A23" s="105" t="s">
        <v>39</v>
      </c>
      <c r="B23" s="2" t="s">
        <v>40</v>
      </c>
      <c r="C23" s="64">
        <v>400000</v>
      </c>
      <c r="D23" s="25">
        <v>35264.469999999972</v>
      </c>
      <c r="E23" s="64">
        <v>435290.92</v>
      </c>
      <c r="F23" s="66">
        <f t="shared" si="2"/>
        <v>108.82273000000001</v>
      </c>
      <c r="G23" s="25"/>
    </row>
    <row r="24" spans="1:7" x14ac:dyDescent="0.15">
      <c r="A24" s="105" t="s">
        <v>41</v>
      </c>
      <c r="B24" s="2" t="s">
        <v>42</v>
      </c>
      <c r="C24" s="64">
        <v>500</v>
      </c>
      <c r="D24" s="22">
        <v>0</v>
      </c>
      <c r="E24" s="64">
        <v>0</v>
      </c>
      <c r="F24" s="66">
        <f t="shared" si="2"/>
        <v>0</v>
      </c>
    </row>
    <row r="25" spans="1:7" x14ac:dyDescent="0.15">
      <c r="A25" s="105" t="s">
        <v>43</v>
      </c>
      <c r="B25" s="2" t="s">
        <v>44</v>
      </c>
      <c r="C25" s="64">
        <v>500</v>
      </c>
      <c r="D25" s="22">
        <v>0</v>
      </c>
      <c r="E25" s="64">
        <v>0</v>
      </c>
      <c r="F25" s="66">
        <f t="shared" si="2"/>
        <v>0</v>
      </c>
    </row>
    <row r="26" spans="1:7" x14ac:dyDescent="0.15">
      <c r="A26" s="105">
        <v>71425</v>
      </c>
      <c r="B26" s="12" t="s">
        <v>101</v>
      </c>
      <c r="C26" s="64">
        <v>0</v>
      </c>
      <c r="D26" s="22">
        <v>0</v>
      </c>
      <c r="E26" s="22">
        <v>0</v>
      </c>
      <c r="F26" s="66">
        <v>0</v>
      </c>
    </row>
    <row r="27" spans="1:7" ht="12.75" customHeight="1" x14ac:dyDescent="0.15">
      <c r="A27" s="106" t="s">
        <v>45</v>
      </c>
      <c r="B27" s="12" t="s">
        <v>46</v>
      </c>
      <c r="C27" s="66">
        <v>80000</v>
      </c>
      <c r="D27" s="22">
        <v>794.53</v>
      </c>
      <c r="E27" s="64">
        <v>167014.41</v>
      </c>
      <c r="F27" s="66">
        <f t="shared" si="2"/>
        <v>208.7680125</v>
      </c>
    </row>
    <row r="28" spans="1:7" x14ac:dyDescent="0.15">
      <c r="A28" s="106" t="s">
        <v>102</v>
      </c>
      <c r="B28" s="12" t="s">
        <v>103</v>
      </c>
      <c r="C28" s="65">
        <v>0</v>
      </c>
      <c r="D28" s="22">
        <v>0</v>
      </c>
      <c r="E28" s="65">
        <v>0</v>
      </c>
      <c r="F28" s="66">
        <v>0</v>
      </c>
      <c r="G28" s="58"/>
    </row>
    <row r="29" spans="1:7" x14ac:dyDescent="0.15">
      <c r="A29" s="106" t="s">
        <v>47</v>
      </c>
      <c r="B29" s="12" t="s">
        <v>48</v>
      </c>
      <c r="C29" s="66">
        <v>0</v>
      </c>
      <c r="D29" s="22">
        <v>0</v>
      </c>
      <c r="E29" s="65">
        <v>0</v>
      </c>
      <c r="F29" s="66">
        <v>0</v>
      </c>
    </row>
    <row r="30" spans="1:7" x14ac:dyDescent="0.15">
      <c r="A30" s="106" t="s">
        <v>49</v>
      </c>
      <c r="B30" s="12" t="s">
        <v>50</v>
      </c>
      <c r="C30" s="64">
        <v>145000</v>
      </c>
      <c r="D30" s="22">
        <v>10359.26</v>
      </c>
      <c r="E30" s="64">
        <v>110537.89</v>
      </c>
      <c r="F30" s="66">
        <f t="shared" si="2"/>
        <v>76.233027586206887</v>
      </c>
    </row>
    <row r="31" spans="1:7" x14ac:dyDescent="0.15">
      <c r="A31" s="106" t="s">
        <v>51</v>
      </c>
      <c r="B31" s="12" t="s">
        <v>52</v>
      </c>
      <c r="C31" s="64">
        <v>2000</v>
      </c>
      <c r="D31" s="22">
        <v>0</v>
      </c>
      <c r="E31" s="65">
        <v>0</v>
      </c>
      <c r="F31" s="66">
        <f t="shared" si="2"/>
        <v>0</v>
      </c>
    </row>
    <row r="32" spans="1:7" x14ac:dyDescent="0.15">
      <c r="A32" s="104" t="s">
        <v>53</v>
      </c>
      <c r="B32" s="4" t="s">
        <v>54</v>
      </c>
      <c r="C32" s="5">
        <f>SUM(C33:C36)</f>
        <v>294000</v>
      </c>
      <c r="D32" s="5">
        <f t="shared" ref="D32:E32" si="7">SUM(D33:D36)</f>
        <v>113242.81</v>
      </c>
      <c r="E32" s="5">
        <f t="shared" si="7"/>
        <v>277969.88</v>
      </c>
      <c r="F32" s="5">
        <f>E32/C32*100</f>
        <v>94.547578231292519</v>
      </c>
    </row>
    <row r="33" spans="1:6" ht="21" x14ac:dyDescent="0.15">
      <c r="A33" s="105" t="s">
        <v>55</v>
      </c>
      <c r="B33" s="2" t="s">
        <v>56</v>
      </c>
      <c r="C33" s="64">
        <v>120000</v>
      </c>
      <c r="D33" s="64">
        <v>110648.40000000001</v>
      </c>
      <c r="E33" s="64">
        <v>220022.73</v>
      </c>
      <c r="F33" s="66">
        <f t="shared" si="2"/>
        <v>183.35227499999999</v>
      </c>
    </row>
    <row r="34" spans="1:6" x14ac:dyDescent="0.15">
      <c r="A34" s="105" t="s">
        <v>57</v>
      </c>
      <c r="B34" s="2" t="s">
        <v>58</v>
      </c>
      <c r="C34" s="64">
        <v>4000</v>
      </c>
      <c r="D34" s="64">
        <v>429.14999999999986</v>
      </c>
      <c r="E34" s="64">
        <v>2181.1999999999998</v>
      </c>
      <c r="F34" s="66">
        <f t="shared" si="2"/>
        <v>54.53</v>
      </c>
    </row>
    <row r="35" spans="1:6" x14ac:dyDescent="0.15">
      <c r="A35" s="105" t="s">
        <v>59</v>
      </c>
      <c r="B35" s="2" t="s">
        <v>60</v>
      </c>
      <c r="C35" s="64">
        <v>20000</v>
      </c>
      <c r="D35" s="64">
        <v>1977.7000000000007</v>
      </c>
      <c r="E35" s="64">
        <v>22303.29</v>
      </c>
      <c r="F35" s="66">
        <f t="shared" si="2"/>
        <v>111.51645000000001</v>
      </c>
    </row>
    <row r="36" spans="1:6" x14ac:dyDescent="0.15">
      <c r="A36" s="105" t="s">
        <v>61</v>
      </c>
      <c r="B36" s="2" t="s">
        <v>54</v>
      </c>
      <c r="C36" s="64">
        <v>150000</v>
      </c>
      <c r="D36" s="64">
        <v>187.56000000000495</v>
      </c>
      <c r="E36" s="64">
        <v>33462.660000000003</v>
      </c>
      <c r="F36" s="66">
        <f t="shared" si="2"/>
        <v>22.308440000000001</v>
      </c>
    </row>
    <row r="37" spans="1:6" ht="12" customHeight="1" x14ac:dyDescent="0.15">
      <c r="A37" s="104" t="s">
        <v>62</v>
      </c>
      <c r="B37" s="4" t="s">
        <v>63</v>
      </c>
      <c r="C37" s="5">
        <f>SUM(C40+C38)</f>
        <v>50000</v>
      </c>
      <c r="D37" s="5">
        <f t="shared" ref="D37:E37" si="8">SUM(D40+D38)</f>
        <v>318</v>
      </c>
      <c r="E37" s="5">
        <f t="shared" si="8"/>
        <v>5549.05</v>
      </c>
      <c r="F37" s="5">
        <f t="shared" si="2"/>
        <v>11.098100000000001</v>
      </c>
    </row>
    <row r="38" spans="1:6" x14ac:dyDescent="0.15">
      <c r="A38" s="105" t="s">
        <v>64</v>
      </c>
      <c r="B38" s="2" t="s">
        <v>65</v>
      </c>
      <c r="C38" s="66">
        <f>SUM(C39)</f>
        <v>50000</v>
      </c>
      <c r="D38" s="66">
        <f t="shared" ref="D38" si="9">SUM(D39)</f>
        <v>318</v>
      </c>
      <c r="E38" s="66">
        <f>SUM(E39)</f>
        <v>5549.05</v>
      </c>
      <c r="F38" s="66">
        <f t="shared" si="2"/>
        <v>11.098100000000001</v>
      </c>
    </row>
    <row r="39" spans="1:6" x14ac:dyDescent="0.15">
      <c r="A39" s="105" t="s">
        <v>66</v>
      </c>
      <c r="B39" s="2" t="s">
        <v>67</v>
      </c>
      <c r="C39" s="65">
        <v>50000</v>
      </c>
      <c r="D39" s="22">
        <v>318</v>
      </c>
      <c r="E39" s="64">
        <v>5549.05</v>
      </c>
      <c r="F39" s="66">
        <f t="shared" si="2"/>
        <v>11.098100000000001</v>
      </c>
    </row>
    <row r="40" spans="1:6" x14ac:dyDescent="0.15">
      <c r="A40" s="105" t="s">
        <v>68</v>
      </c>
      <c r="B40" s="2" t="s">
        <v>69</v>
      </c>
      <c r="C40" s="66">
        <v>0</v>
      </c>
      <c r="D40" s="66">
        <v>0</v>
      </c>
      <c r="E40" s="65">
        <v>0</v>
      </c>
      <c r="F40" s="66">
        <v>0</v>
      </c>
    </row>
    <row r="41" spans="1:6" ht="21" x14ac:dyDescent="0.15">
      <c r="A41" s="104" t="s">
        <v>70</v>
      </c>
      <c r="B41" s="4" t="s">
        <v>71</v>
      </c>
      <c r="C41" s="5">
        <f>SUM(C42:C43)</f>
        <v>1056000</v>
      </c>
      <c r="D41" s="5">
        <f t="shared" ref="D41:E41" si="10">SUM(D42:D43)</f>
        <v>2406.96</v>
      </c>
      <c r="E41" s="5">
        <f t="shared" si="10"/>
        <v>1030317.38</v>
      </c>
      <c r="F41" s="5">
        <f t="shared" si="2"/>
        <v>97.567933712121217</v>
      </c>
    </row>
    <row r="42" spans="1:6" x14ac:dyDescent="0.15">
      <c r="A42" s="105" t="s">
        <v>72</v>
      </c>
      <c r="B42" s="2" t="s">
        <v>73</v>
      </c>
      <c r="C42" s="66">
        <v>31000</v>
      </c>
      <c r="D42" s="64">
        <v>2406.96</v>
      </c>
      <c r="E42" s="65">
        <v>4813.92</v>
      </c>
      <c r="F42" s="66">
        <f t="shared" si="2"/>
        <v>15.528774193548387</v>
      </c>
    </row>
    <row r="43" spans="1:6" x14ac:dyDescent="0.15">
      <c r="A43" s="105" t="s">
        <v>74</v>
      </c>
      <c r="B43" s="2" t="s">
        <v>75</v>
      </c>
      <c r="C43" s="66">
        <v>1025000</v>
      </c>
      <c r="D43" s="64">
        <v>0</v>
      </c>
      <c r="E43" s="66">
        <v>1025503.46</v>
      </c>
      <c r="F43" s="66">
        <f t="shared" si="2"/>
        <v>100.0491180487805</v>
      </c>
    </row>
    <row r="44" spans="1:6" x14ac:dyDescent="0.15">
      <c r="A44" s="104" t="s">
        <v>76</v>
      </c>
      <c r="B44" s="4" t="s">
        <v>77</v>
      </c>
      <c r="C44" s="5">
        <f>SUM(C45,C48)</f>
        <v>5230000</v>
      </c>
      <c r="D44" s="5">
        <f>SUM(D45,D48)</f>
        <v>622078.55999999994</v>
      </c>
      <c r="E44" s="5">
        <f>SUM(E45,E48)</f>
        <v>4986047.72</v>
      </c>
      <c r="F44" s="5">
        <f t="shared" si="2"/>
        <v>95.335520458891011</v>
      </c>
    </row>
    <row r="45" spans="1:6" x14ac:dyDescent="0.15">
      <c r="A45" s="107" t="s">
        <v>78</v>
      </c>
      <c r="B45" s="4" t="s">
        <v>79</v>
      </c>
      <c r="C45" s="5">
        <f>SUM(C46:C47)</f>
        <v>400000</v>
      </c>
      <c r="D45" s="5">
        <f>+D46+D47</f>
        <v>10795.35</v>
      </c>
      <c r="E45" s="5">
        <f>+E46+E47</f>
        <v>262445.05</v>
      </c>
      <c r="F45" s="66">
        <f t="shared" si="2"/>
        <v>65.611262499999995</v>
      </c>
    </row>
    <row r="46" spans="1:6" x14ac:dyDescent="0.15">
      <c r="A46" s="105" t="s">
        <v>80</v>
      </c>
      <c r="B46" s="2" t="s">
        <v>81</v>
      </c>
      <c r="C46" s="66">
        <v>100000</v>
      </c>
      <c r="D46" s="64">
        <v>0</v>
      </c>
      <c r="E46" s="64">
        <v>6900</v>
      </c>
      <c r="F46" s="66">
        <f t="shared" si="2"/>
        <v>6.9</v>
      </c>
    </row>
    <row r="47" spans="1:6" x14ac:dyDescent="0.15">
      <c r="A47" s="105" t="s">
        <v>82</v>
      </c>
      <c r="B47" s="2" t="s">
        <v>83</v>
      </c>
      <c r="C47" s="65">
        <v>300000</v>
      </c>
      <c r="D47" s="64">
        <v>10795.35</v>
      </c>
      <c r="E47" s="64">
        <v>255545.05</v>
      </c>
      <c r="F47" s="66">
        <f t="shared" si="2"/>
        <v>85.181683333333325</v>
      </c>
    </row>
    <row r="48" spans="1:6" x14ac:dyDescent="0.15">
      <c r="A48" s="107" t="s">
        <v>84</v>
      </c>
      <c r="B48" s="4" t="s">
        <v>85</v>
      </c>
      <c r="C48" s="5">
        <f>SUM(C49:C51)</f>
        <v>4830000</v>
      </c>
      <c r="D48" s="5">
        <f t="shared" ref="D48:E48" si="11">SUM(D49:D51)</f>
        <v>611283.21</v>
      </c>
      <c r="E48" s="5">
        <f t="shared" si="11"/>
        <v>4723602.67</v>
      </c>
      <c r="F48" s="5">
        <f t="shared" si="2"/>
        <v>97.797156728778461</v>
      </c>
    </row>
    <row r="49" spans="1:6" x14ac:dyDescent="0.15">
      <c r="A49" s="105" t="s">
        <v>86</v>
      </c>
      <c r="B49" s="2" t="s">
        <v>87</v>
      </c>
      <c r="C49" s="65">
        <v>1400000</v>
      </c>
      <c r="D49" s="64">
        <v>30494.48</v>
      </c>
      <c r="E49" s="64">
        <v>1254730.26</v>
      </c>
      <c r="F49" s="66">
        <f t="shared" si="2"/>
        <v>89.623589999999993</v>
      </c>
    </row>
    <row r="50" spans="1:6" x14ac:dyDescent="0.15">
      <c r="A50" s="105" t="s">
        <v>88</v>
      </c>
      <c r="B50" s="2" t="s">
        <v>89</v>
      </c>
      <c r="C50" s="65">
        <v>30000</v>
      </c>
      <c r="D50" s="64">
        <v>0</v>
      </c>
      <c r="E50" s="64">
        <v>6681.29</v>
      </c>
      <c r="F50" s="66">
        <f t="shared" si="2"/>
        <v>22.270966666666666</v>
      </c>
    </row>
    <row r="51" spans="1:6" x14ac:dyDescent="0.15">
      <c r="A51" s="105" t="s">
        <v>90</v>
      </c>
      <c r="B51" s="2" t="s">
        <v>91</v>
      </c>
      <c r="C51" s="65">
        <v>3400000</v>
      </c>
      <c r="D51" s="64">
        <v>580788.73</v>
      </c>
      <c r="E51" s="64">
        <v>3462191.12</v>
      </c>
      <c r="F51" s="66">
        <f t="shared" si="2"/>
        <v>101.82915058823529</v>
      </c>
    </row>
    <row r="52" spans="1:6" x14ac:dyDescent="0.15">
      <c r="A52" s="104" t="s">
        <v>92</v>
      </c>
      <c r="B52" s="4" t="s">
        <v>93</v>
      </c>
      <c r="C52" s="5">
        <f>SUM(C53)</f>
        <v>1000</v>
      </c>
      <c r="D52" s="5">
        <v>0</v>
      </c>
      <c r="E52" s="5">
        <f t="shared" ref="E52" si="12">SUM(E53)</f>
        <v>0</v>
      </c>
      <c r="F52" s="5">
        <f t="shared" si="2"/>
        <v>0</v>
      </c>
    </row>
    <row r="53" spans="1:6" x14ac:dyDescent="0.15">
      <c r="A53" s="105" t="s">
        <v>94</v>
      </c>
      <c r="B53" s="2" t="s">
        <v>93</v>
      </c>
      <c r="C53" s="66">
        <f>SUM(C54+C57)</f>
        <v>1000</v>
      </c>
      <c r="D53" s="66">
        <v>0</v>
      </c>
      <c r="E53" s="65">
        <v>0</v>
      </c>
      <c r="F53" s="66">
        <f t="shared" si="2"/>
        <v>0</v>
      </c>
    </row>
    <row r="54" spans="1:6" x14ac:dyDescent="0.15">
      <c r="A54" s="105" t="s">
        <v>95</v>
      </c>
      <c r="B54" s="2" t="s">
        <v>96</v>
      </c>
      <c r="C54" s="65">
        <f>SUM(C55:C56)</f>
        <v>1000</v>
      </c>
      <c r="D54" s="66">
        <v>0</v>
      </c>
      <c r="E54" s="65">
        <v>0</v>
      </c>
      <c r="F54" s="66">
        <f t="shared" si="2"/>
        <v>0</v>
      </c>
    </row>
    <row r="55" spans="1:6" x14ac:dyDescent="0.15">
      <c r="A55" s="106" t="s">
        <v>104</v>
      </c>
      <c r="B55" s="12" t="s">
        <v>106</v>
      </c>
      <c r="C55" s="65">
        <v>1000</v>
      </c>
      <c r="D55" s="66">
        <v>0</v>
      </c>
      <c r="E55" s="65">
        <v>0</v>
      </c>
      <c r="F55" s="66">
        <v>0</v>
      </c>
    </row>
    <row r="56" spans="1:6" x14ac:dyDescent="0.15">
      <c r="A56" s="106" t="s">
        <v>105</v>
      </c>
      <c r="B56" s="12" t="s">
        <v>107</v>
      </c>
      <c r="C56" s="65">
        <v>0</v>
      </c>
      <c r="D56" s="66">
        <v>0</v>
      </c>
      <c r="E56" s="65">
        <v>0</v>
      </c>
      <c r="F56" s="66">
        <v>0</v>
      </c>
    </row>
    <row r="57" spans="1:6" x14ac:dyDescent="0.15">
      <c r="A57" s="105" t="s">
        <v>97</v>
      </c>
      <c r="B57" s="2" t="s">
        <v>98</v>
      </c>
      <c r="C57" s="65">
        <v>0</v>
      </c>
      <c r="D57" s="66">
        <v>0</v>
      </c>
      <c r="E57" s="65">
        <v>0</v>
      </c>
      <c r="F57" s="66">
        <v>0</v>
      </c>
    </row>
    <row r="58" spans="1:6" ht="15.75" customHeight="1" x14ac:dyDescent="0.15">
      <c r="A58" s="104" t="s">
        <v>99</v>
      </c>
      <c r="B58" s="4" t="s">
        <v>100</v>
      </c>
      <c r="C58" s="5">
        <f>SUM(C6,C37,C41,C44,C52)</f>
        <v>11950000</v>
      </c>
      <c r="D58" s="5">
        <f>SUM(D6,D37,D41,D44,D52)</f>
        <v>1509368.77</v>
      </c>
      <c r="E58" s="5">
        <f>SUM(E6,E37,E41,E44,E52)</f>
        <v>11242824.939999999</v>
      </c>
      <c r="F58" s="5">
        <f>E58/C58*100</f>
        <v>94.082217071129705</v>
      </c>
    </row>
    <row r="60" spans="1:6" x14ac:dyDescent="0.15">
      <c r="D60" s="59"/>
      <c r="E60" s="25"/>
    </row>
    <row r="61" spans="1:6" x14ac:dyDescent="0.15">
      <c r="C61" s="25"/>
      <c r="D61" s="59"/>
      <c r="E61" s="60"/>
    </row>
    <row r="62" spans="1:6" x14ac:dyDescent="0.15">
      <c r="D62" s="59"/>
      <c r="E62" s="25"/>
      <c r="F62" s="23"/>
    </row>
    <row r="63" spans="1:6" x14ac:dyDescent="0.15">
      <c r="E63" s="25"/>
    </row>
    <row r="65" spans="6:6" x14ac:dyDescent="0.15">
      <c r="F65" s="23"/>
    </row>
  </sheetData>
  <mergeCells count="2">
    <mergeCell ref="E2:F2"/>
    <mergeCell ref="A4:F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zoomScaleNormal="100" workbookViewId="0">
      <selection activeCell="J93" sqref="J93"/>
    </sheetView>
  </sheetViews>
  <sheetFormatPr defaultColWidth="9.140625" defaultRowHeight="10.5" x14ac:dyDescent="0.15"/>
  <cols>
    <col min="1" max="1" width="9" style="1" customWidth="1"/>
    <col min="2" max="2" width="37.42578125" style="1" customWidth="1"/>
    <col min="3" max="3" width="12.140625" style="1" customWidth="1"/>
    <col min="4" max="4" width="11.5703125" style="1" customWidth="1"/>
    <col min="5" max="5" width="16" style="1" customWidth="1"/>
    <col min="6" max="6" width="8.42578125" style="1" customWidth="1"/>
    <col min="7" max="16384" width="9.140625" style="1"/>
  </cols>
  <sheetData>
    <row r="1" spans="1:6" ht="11.25" thickBot="1" x14ac:dyDescent="0.2"/>
    <row r="2" spans="1:6" ht="18.75" customHeight="1" thickBot="1" x14ac:dyDescent="0.2">
      <c r="E2" s="131" t="s">
        <v>307</v>
      </c>
      <c r="F2" s="131" t="s">
        <v>307</v>
      </c>
    </row>
    <row r="3" spans="1:6" ht="11.25" thickBot="1" x14ac:dyDescent="0.2"/>
    <row r="4" spans="1:6" ht="26.45" customHeight="1" x14ac:dyDescent="0.15">
      <c r="A4" s="135" t="s">
        <v>1</v>
      </c>
      <c r="B4" s="136" t="s">
        <v>1</v>
      </c>
      <c r="C4" s="136" t="s">
        <v>1</v>
      </c>
      <c r="D4" s="136" t="s">
        <v>1</v>
      </c>
      <c r="E4" s="136" t="s">
        <v>1</v>
      </c>
      <c r="F4" s="137" t="s">
        <v>1</v>
      </c>
    </row>
    <row r="5" spans="1:6" ht="56.25" customHeight="1" x14ac:dyDescent="0.15">
      <c r="A5" s="18" t="s">
        <v>306</v>
      </c>
      <c r="B5" s="3" t="s">
        <v>305</v>
      </c>
      <c r="C5" s="3" t="s">
        <v>3</v>
      </c>
      <c r="D5" s="3" t="s">
        <v>365</v>
      </c>
      <c r="E5" s="3" t="s">
        <v>366</v>
      </c>
      <c r="F5" s="8" t="s">
        <v>304</v>
      </c>
    </row>
    <row r="6" spans="1:6" s="15" customFormat="1" x14ac:dyDescent="0.15">
      <c r="A6" s="18" t="s">
        <v>303</v>
      </c>
      <c r="B6" s="4" t="s">
        <v>301</v>
      </c>
      <c r="C6" s="5">
        <f t="shared" ref="C6:D6" si="0">SUM(C7,C59:C60)</f>
        <v>7599590</v>
      </c>
      <c r="D6" s="5">
        <f t="shared" si="0"/>
        <v>1122992.6600000001</v>
      </c>
      <c r="E6" s="5">
        <f>SUM(E7,E59:E60)</f>
        <v>7052148.29</v>
      </c>
      <c r="F6" s="20">
        <f>E6/C6*100</f>
        <v>92.796430991671912</v>
      </c>
    </row>
    <row r="7" spans="1:6" s="15" customFormat="1" x14ac:dyDescent="0.15">
      <c r="A7" s="18" t="s">
        <v>302</v>
      </c>
      <c r="B7" s="4" t="s">
        <v>301</v>
      </c>
      <c r="C7" s="5">
        <f>SUM(C8,C14,C22,C29,C39,C43,C46,C50,C51)</f>
        <v>3386940</v>
      </c>
      <c r="D7" s="5">
        <f t="shared" ref="D7" si="1">SUM(D8,D14,D22,D29,D39,D43,D46,D50,D51)</f>
        <v>537669.02</v>
      </c>
      <c r="E7" s="5">
        <f>SUM(E8,E14,E22,E29,E39,E43,E46,E50,E51)</f>
        <v>2967567.46</v>
      </c>
      <c r="F7" s="20">
        <f t="shared" ref="F7:F14" si="2">E7/C7*100</f>
        <v>87.617951897583069</v>
      </c>
    </row>
    <row r="8" spans="1:6" x14ac:dyDescent="0.15">
      <c r="A8" s="18" t="s">
        <v>300</v>
      </c>
      <c r="B8" s="4" t="s">
        <v>129</v>
      </c>
      <c r="C8" s="5">
        <f t="shared" ref="C8:E8" si="3">SUM(C9:C13)</f>
        <v>2270960</v>
      </c>
      <c r="D8" s="5">
        <f t="shared" si="3"/>
        <v>226071.04000000004</v>
      </c>
      <c r="E8" s="5">
        <f t="shared" si="3"/>
        <v>2072065.46</v>
      </c>
      <c r="F8" s="20">
        <f t="shared" si="2"/>
        <v>91.241829886920073</v>
      </c>
    </row>
    <row r="9" spans="1:6" x14ac:dyDescent="0.15">
      <c r="A9" s="17" t="s">
        <v>299</v>
      </c>
      <c r="B9" s="2" t="s">
        <v>298</v>
      </c>
      <c r="C9" s="64">
        <f>2201450-11000+4000</f>
        <v>2194450</v>
      </c>
      <c r="D9" s="64">
        <v>216243.17</v>
      </c>
      <c r="E9" s="64">
        <v>2059203.49</v>
      </c>
      <c r="F9" s="10">
        <f t="shared" si="2"/>
        <v>93.836883501560749</v>
      </c>
    </row>
    <row r="10" spans="1:6" x14ac:dyDescent="0.15">
      <c r="A10" s="17" t="s">
        <v>297</v>
      </c>
      <c r="B10" s="2" t="s">
        <v>296</v>
      </c>
      <c r="C10" s="64">
        <v>9055</v>
      </c>
      <c r="D10" s="64">
        <v>0</v>
      </c>
      <c r="E10" s="64">
        <v>12.7</v>
      </c>
      <c r="F10" s="10">
        <f t="shared" si="2"/>
        <v>0.14025400331308668</v>
      </c>
    </row>
    <row r="11" spans="1:6" x14ac:dyDescent="0.15">
      <c r="A11" s="17" t="s">
        <v>295</v>
      </c>
      <c r="B11" s="2" t="s">
        <v>294</v>
      </c>
      <c r="C11" s="64">
        <v>40080</v>
      </c>
      <c r="D11" s="64">
        <v>0</v>
      </c>
      <c r="E11" s="64">
        <v>179.08</v>
      </c>
      <c r="F11" s="10">
        <f t="shared" si="2"/>
        <v>0.44680638722554894</v>
      </c>
    </row>
    <row r="12" spans="1:6" x14ac:dyDescent="0.15">
      <c r="A12" s="17" t="s">
        <v>293</v>
      </c>
      <c r="B12" s="2" t="s">
        <v>292</v>
      </c>
      <c r="C12" s="64">
        <v>16590</v>
      </c>
      <c r="D12" s="64">
        <v>343.01</v>
      </c>
      <c r="E12" s="64">
        <v>3175.81</v>
      </c>
      <c r="F12" s="10">
        <f t="shared" si="2"/>
        <v>19.142917420132612</v>
      </c>
    </row>
    <row r="13" spans="1:6" x14ac:dyDescent="0.15">
      <c r="A13" s="17" t="s">
        <v>291</v>
      </c>
      <c r="B13" s="2" t="s">
        <v>290</v>
      </c>
      <c r="C13" s="64">
        <v>10785</v>
      </c>
      <c r="D13" s="64">
        <v>9484.86</v>
      </c>
      <c r="E13" s="64">
        <v>9494.3799999999992</v>
      </c>
      <c r="F13" s="10">
        <f t="shared" si="2"/>
        <v>88.033194251274921</v>
      </c>
    </row>
    <row r="14" spans="1:6" s="15" customFormat="1" x14ac:dyDescent="0.15">
      <c r="A14" s="18" t="s">
        <v>289</v>
      </c>
      <c r="B14" s="4" t="s">
        <v>122</v>
      </c>
      <c r="C14" s="5">
        <f t="shared" ref="C14:E14" si="4">SUM(C15:C21)</f>
        <v>53230</v>
      </c>
      <c r="D14" s="5">
        <f t="shared" si="4"/>
        <v>10539.7</v>
      </c>
      <c r="E14" s="5">
        <f t="shared" si="4"/>
        <v>35540.5</v>
      </c>
      <c r="F14" s="20">
        <f t="shared" si="2"/>
        <v>66.76780011271839</v>
      </c>
    </row>
    <row r="15" spans="1:6" x14ac:dyDescent="0.15">
      <c r="A15" s="17" t="s">
        <v>288</v>
      </c>
      <c r="B15" s="2" t="s">
        <v>287</v>
      </c>
      <c r="C15" s="64">
        <v>0</v>
      </c>
      <c r="D15" s="64">
        <v>0</v>
      </c>
      <c r="E15" s="64">
        <v>0</v>
      </c>
      <c r="F15" s="10">
        <v>0</v>
      </c>
    </row>
    <row r="16" spans="1:6" x14ac:dyDescent="0.15">
      <c r="A16" s="17" t="s">
        <v>286</v>
      </c>
      <c r="B16" s="2" t="s">
        <v>285</v>
      </c>
      <c r="C16" s="64">
        <v>0</v>
      </c>
      <c r="D16" s="64">
        <v>0</v>
      </c>
      <c r="E16" s="64">
        <v>0</v>
      </c>
      <c r="F16" s="10">
        <v>0</v>
      </c>
    </row>
    <row r="17" spans="1:6" x14ac:dyDescent="0.15">
      <c r="A17" s="17" t="s">
        <v>284</v>
      </c>
      <c r="B17" s="2" t="s">
        <v>283</v>
      </c>
      <c r="C17" s="64">
        <v>0</v>
      </c>
      <c r="D17" s="64">
        <v>0</v>
      </c>
      <c r="E17" s="64">
        <v>0</v>
      </c>
      <c r="F17" s="10">
        <v>0</v>
      </c>
    </row>
    <row r="18" spans="1:6" x14ac:dyDescent="0.15">
      <c r="A18" s="17" t="s">
        <v>282</v>
      </c>
      <c r="B18" s="2" t="s">
        <v>281</v>
      </c>
      <c r="C18" s="64">
        <v>0</v>
      </c>
      <c r="D18" s="64">
        <v>0</v>
      </c>
      <c r="E18" s="64">
        <v>0</v>
      </c>
      <c r="F18" s="10">
        <v>0</v>
      </c>
    </row>
    <row r="19" spans="1:6" x14ac:dyDescent="0.15">
      <c r="A19" s="17" t="s">
        <v>280</v>
      </c>
      <c r="B19" s="2" t="s">
        <v>279</v>
      </c>
      <c r="C19" s="64">
        <v>0</v>
      </c>
      <c r="D19" s="64">
        <v>0</v>
      </c>
      <c r="E19" s="64">
        <v>0</v>
      </c>
      <c r="F19" s="10">
        <v>0</v>
      </c>
    </row>
    <row r="20" spans="1:6" x14ac:dyDescent="0.15">
      <c r="A20" s="17" t="s">
        <v>278</v>
      </c>
      <c r="B20" s="2" t="s">
        <v>277</v>
      </c>
      <c r="C20" s="64">
        <v>21000</v>
      </c>
      <c r="D20" s="64">
        <v>7700</v>
      </c>
      <c r="E20" s="64">
        <v>16200</v>
      </c>
      <c r="F20" s="10">
        <f>E20/C20*100</f>
        <v>77.142857142857153</v>
      </c>
    </row>
    <row r="21" spans="1:6" x14ac:dyDescent="0.15">
      <c r="A21" s="17" t="s">
        <v>276</v>
      </c>
      <c r="B21" s="2" t="s">
        <v>52</v>
      </c>
      <c r="C21" s="64">
        <v>32230</v>
      </c>
      <c r="D21" s="64">
        <v>2839.7</v>
      </c>
      <c r="E21" s="64">
        <v>19340.5</v>
      </c>
      <c r="F21" s="10">
        <f>E21/C21*100</f>
        <v>60.007756748371087</v>
      </c>
    </row>
    <row r="22" spans="1:6" s="15" customFormat="1" x14ac:dyDescent="0.15">
      <c r="A22" s="18" t="s">
        <v>275</v>
      </c>
      <c r="B22" s="4" t="s">
        <v>121</v>
      </c>
      <c r="C22" s="5">
        <f t="shared" ref="C22:D22" si="5">SUM(C23:C28)</f>
        <v>134500</v>
      </c>
      <c r="D22" s="5">
        <f t="shared" si="5"/>
        <v>17684.510000000002</v>
      </c>
      <c r="E22" s="5">
        <f>SUM(E23:E28)</f>
        <v>111716.40000000001</v>
      </c>
      <c r="F22" s="20">
        <f>E22/C22*100</f>
        <v>83.06052044609666</v>
      </c>
    </row>
    <row r="23" spans="1:6" x14ac:dyDescent="0.15">
      <c r="A23" s="17" t="s">
        <v>274</v>
      </c>
      <c r="B23" s="2" t="s">
        <v>273</v>
      </c>
      <c r="C23" s="64">
        <v>10400</v>
      </c>
      <c r="D23" s="64">
        <v>4226.79</v>
      </c>
      <c r="E23" s="64">
        <v>10346.969999999999</v>
      </c>
      <c r="F23" s="10">
        <f>E23/C23*100</f>
        <v>99.490096153846153</v>
      </c>
    </row>
    <row r="24" spans="1:6" x14ac:dyDescent="0.15">
      <c r="A24" s="17" t="s">
        <v>272</v>
      </c>
      <c r="B24" s="2" t="s">
        <v>271</v>
      </c>
      <c r="C24" s="64">
        <v>0</v>
      </c>
      <c r="D24" s="64">
        <v>0</v>
      </c>
      <c r="E24" s="64">
        <v>0</v>
      </c>
      <c r="F24" s="10">
        <v>0</v>
      </c>
    </row>
    <row r="25" spans="1:6" x14ac:dyDescent="0.15">
      <c r="A25" s="17" t="s">
        <v>270</v>
      </c>
      <c r="B25" s="2" t="s">
        <v>269</v>
      </c>
      <c r="C25" s="64">
        <v>11100</v>
      </c>
      <c r="D25" s="64">
        <v>4318.93</v>
      </c>
      <c r="E25" s="64">
        <v>9590.39</v>
      </c>
      <c r="F25" s="10">
        <f t="shared" ref="F25:F33" si="6">E25/C25*100</f>
        <v>86.399909909909894</v>
      </c>
    </row>
    <row r="26" spans="1:6" x14ac:dyDescent="0.15">
      <c r="A26" s="17" t="s">
        <v>268</v>
      </c>
      <c r="B26" s="2" t="s">
        <v>267</v>
      </c>
      <c r="C26" s="64">
        <v>42000</v>
      </c>
      <c r="D26" s="64">
        <v>3242.04</v>
      </c>
      <c r="E26" s="64">
        <v>34717.18</v>
      </c>
      <c r="F26" s="10">
        <f t="shared" si="6"/>
        <v>82.65995238095239</v>
      </c>
    </row>
    <row r="27" spans="1:6" x14ac:dyDescent="0.15">
      <c r="A27" s="17" t="s">
        <v>266</v>
      </c>
      <c r="B27" s="2" t="s">
        <v>265</v>
      </c>
      <c r="C27" s="64">
        <v>70000</v>
      </c>
      <c r="D27" s="64">
        <v>5564.83</v>
      </c>
      <c r="E27" s="64">
        <v>56729.94</v>
      </c>
      <c r="F27" s="10">
        <f t="shared" si="6"/>
        <v>81.042771428571442</v>
      </c>
    </row>
    <row r="28" spans="1:6" x14ac:dyDescent="0.15">
      <c r="A28" s="17" t="s">
        <v>264</v>
      </c>
      <c r="B28" s="2" t="s">
        <v>263</v>
      </c>
      <c r="C28" s="64">
        <v>1000</v>
      </c>
      <c r="D28" s="64">
        <v>331.92</v>
      </c>
      <c r="E28" s="64">
        <v>331.92</v>
      </c>
      <c r="F28" s="10">
        <f t="shared" si="6"/>
        <v>33.192</v>
      </c>
    </row>
    <row r="29" spans="1:6" s="15" customFormat="1" x14ac:dyDescent="0.15">
      <c r="A29" s="18" t="s">
        <v>262</v>
      </c>
      <c r="B29" s="4" t="s">
        <v>120</v>
      </c>
      <c r="C29" s="5">
        <f t="shared" ref="C29:E29" si="7">SUM(C30:C38)</f>
        <v>365590</v>
      </c>
      <c r="D29" s="5">
        <f t="shared" si="7"/>
        <v>139022.79999999999</v>
      </c>
      <c r="E29" s="5">
        <f t="shared" si="7"/>
        <v>293672.74</v>
      </c>
      <c r="F29" s="20">
        <f t="shared" si="6"/>
        <v>80.328438961678387</v>
      </c>
    </row>
    <row r="30" spans="1:6" x14ac:dyDescent="0.15">
      <c r="A30" s="17" t="s">
        <v>261</v>
      </c>
      <c r="B30" s="2" t="s">
        <v>260</v>
      </c>
      <c r="C30" s="64">
        <v>41550</v>
      </c>
      <c r="D30" s="64">
        <v>5398.4</v>
      </c>
      <c r="E30" s="64">
        <v>35920.31</v>
      </c>
      <c r="F30" s="10">
        <f t="shared" si="6"/>
        <v>86.450806257521052</v>
      </c>
    </row>
    <row r="31" spans="1:6" x14ac:dyDescent="0.15">
      <c r="A31" s="17" t="s">
        <v>259</v>
      </c>
      <c r="B31" s="2" t="s">
        <v>258</v>
      </c>
      <c r="C31" s="64">
        <v>9500</v>
      </c>
      <c r="D31" s="64">
        <v>1692.6</v>
      </c>
      <c r="E31" s="64">
        <v>6718.6</v>
      </c>
      <c r="F31" s="10">
        <f t="shared" si="6"/>
        <v>70.7221052631579</v>
      </c>
    </row>
    <row r="32" spans="1:6" x14ac:dyDescent="0.15">
      <c r="A32" s="17" t="s">
        <v>257</v>
      </c>
      <c r="B32" s="2" t="s">
        <v>256</v>
      </c>
      <c r="C32" s="64">
        <v>10500</v>
      </c>
      <c r="D32" s="64">
        <v>3037.08</v>
      </c>
      <c r="E32" s="64">
        <v>9146.4500000000007</v>
      </c>
      <c r="F32" s="10">
        <f t="shared" si="6"/>
        <v>87.109047619047629</v>
      </c>
    </row>
    <row r="33" spans="1:6" x14ac:dyDescent="0.15">
      <c r="A33" s="17" t="s">
        <v>255</v>
      </c>
      <c r="B33" s="2" t="s">
        <v>254</v>
      </c>
      <c r="C33" s="64">
        <v>9020</v>
      </c>
      <c r="D33" s="64">
        <v>1450.43</v>
      </c>
      <c r="E33" s="64">
        <v>8966.68</v>
      </c>
      <c r="F33" s="10">
        <f t="shared" si="6"/>
        <v>99.408869179600885</v>
      </c>
    </row>
    <row r="34" spans="1:6" x14ac:dyDescent="0.15">
      <c r="A34" s="17" t="s">
        <v>253</v>
      </c>
      <c r="B34" s="2" t="s">
        <v>252</v>
      </c>
      <c r="C34" s="64">
        <v>0</v>
      </c>
      <c r="D34" s="64">
        <v>0</v>
      </c>
      <c r="E34" s="64">
        <v>0</v>
      </c>
      <c r="F34" s="10">
        <v>0</v>
      </c>
    </row>
    <row r="35" spans="1:6" x14ac:dyDescent="0.15">
      <c r="A35" s="17" t="s">
        <v>251</v>
      </c>
      <c r="B35" s="2" t="s">
        <v>250</v>
      </c>
      <c r="C35" s="64">
        <v>0</v>
      </c>
      <c r="D35" s="64">
        <v>0</v>
      </c>
      <c r="E35" s="64">
        <v>0</v>
      </c>
      <c r="F35" s="10">
        <v>0</v>
      </c>
    </row>
    <row r="36" spans="1:6" x14ac:dyDescent="0.15">
      <c r="A36" s="17" t="s">
        <v>249</v>
      </c>
      <c r="B36" s="2" t="s">
        <v>248</v>
      </c>
      <c r="C36" s="64">
        <v>232500</v>
      </c>
      <c r="D36" s="64">
        <v>114395.61</v>
      </c>
      <c r="E36" s="122">
        <v>195620.97</v>
      </c>
      <c r="F36" s="10">
        <f>E36/C36*100</f>
        <v>84.138051612903226</v>
      </c>
    </row>
    <row r="37" spans="1:6" x14ac:dyDescent="0.15">
      <c r="A37" s="17" t="s">
        <v>247</v>
      </c>
      <c r="B37" s="2" t="s">
        <v>246</v>
      </c>
      <c r="C37" s="64">
        <v>0</v>
      </c>
      <c r="D37" s="64">
        <v>0</v>
      </c>
      <c r="E37" s="64">
        <v>0</v>
      </c>
      <c r="F37" s="10">
        <v>0</v>
      </c>
    </row>
    <row r="38" spans="1:6" x14ac:dyDescent="0.15">
      <c r="A38" s="17" t="s">
        <v>245</v>
      </c>
      <c r="B38" s="2" t="s">
        <v>244</v>
      </c>
      <c r="C38" s="64">
        <v>62520</v>
      </c>
      <c r="D38" s="64">
        <v>13048.68</v>
      </c>
      <c r="E38" s="64">
        <v>37299.730000000003</v>
      </c>
      <c r="F38" s="10">
        <f>E38/C38*100</f>
        <v>59.660476647472812</v>
      </c>
    </row>
    <row r="39" spans="1:6" s="15" customFormat="1" x14ac:dyDescent="0.15">
      <c r="A39" s="18" t="s">
        <v>243</v>
      </c>
      <c r="B39" s="4" t="s">
        <v>119</v>
      </c>
      <c r="C39" s="5">
        <f t="shared" ref="C39:E39" si="8">SUM(C40:C42)</f>
        <v>35200</v>
      </c>
      <c r="D39" s="5">
        <f t="shared" si="8"/>
        <v>10049.049999999999</v>
      </c>
      <c r="E39" s="5">
        <f t="shared" si="8"/>
        <v>22463.75</v>
      </c>
      <c r="F39" s="20">
        <f>E39/C39*100</f>
        <v>63.817471590909093</v>
      </c>
    </row>
    <row r="40" spans="1:6" x14ac:dyDescent="0.15">
      <c r="A40" s="17" t="s">
        <v>242</v>
      </c>
      <c r="B40" s="2" t="s">
        <v>241</v>
      </c>
      <c r="C40" s="64">
        <v>0</v>
      </c>
      <c r="D40" s="64">
        <v>0</v>
      </c>
      <c r="E40" s="64">
        <v>0</v>
      </c>
      <c r="F40" s="10">
        <v>0</v>
      </c>
    </row>
    <row r="41" spans="1:6" x14ac:dyDescent="0.15">
      <c r="A41" s="17" t="s">
        <v>240</v>
      </c>
      <c r="B41" s="2" t="s">
        <v>239</v>
      </c>
      <c r="C41" s="64">
        <v>0</v>
      </c>
      <c r="D41" s="64">
        <v>0</v>
      </c>
      <c r="E41" s="64">
        <v>0</v>
      </c>
      <c r="F41" s="10">
        <v>0</v>
      </c>
    </row>
    <row r="42" spans="1:6" x14ac:dyDescent="0.15">
      <c r="A42" s="17" t="s">
        <v>238</v>
      </c>
      <c r="B42" s="2" t="s">
        <v>237</v>
      </c>
      <c r="C42" s="64">
        <v>35200</v>
      </c>
      <c r="D42" s="64">
        <v>10049.049999999999</v>
      </c>
      <c r="E42" s="64">
        <v>22463.75</v>
      </c>
      <c r="F42" s="10">
        <v>0</v>
      </c>
    </row>
    <row r="43" spans="1:6" s="15" customFormat="1" x14ac:dyDescent="0.15">
      <c r="A43" s="18" t="s">
        <v>236</v>
      </c>
      <c r="B43" s="4" t="s">
        <v>118</v>
      </c>
      <c r="C43" s="5">
        <f t="shared" ref="C43:E43" si="9">+C44+C45</f>
        <v>56000</v>
      </c>
      <c r="D43" s="5">
        <f t="shared" si="9"/>
        <v>9296.4</v>
      </c>
      <c r="E43" s="5">
        <f t="shared" si="9"/>
        <v>51474.94</v>
      </c>
      <c r="F43" s="20">
        <f>E43/C43*100</f>
        <v>91.919535714285715</v>
      </c>
    </row>
    <row r="44" spans="1:6" x14ac:dyDescent="0.15">
      <c r="A44" s="17" t="s">
        <v>235</v>
      </c>
      <c r="B44" s="2" t="s">
        <v>234</v>
      </c>
      <c r="C44" s="64">
        <f>60000-4000</f>
        <v>56000</v>
      </c>
      <c r="D44" s="64">
        <v>9296.4</v>
      </c>
      <c r="E44" s="64">
        <v>51474.94</v>
      </c>
      <c r="F44" s="10">
        <f>E44/C44*100</f>
        <v>91.919535714285715</v>
      </c>
    </row>
    <row r="45" spans="1:6" x14ac:dyDescent="0.15">
      <c r="A45" s="17" t="s">
        <v>233</v>
      </c>
      <c r="B45" s="2" t="s">
        <v>232</v>
      </c>
      <c r="C45" s="64">
        <v>0</v>
      </c>
      <c r="D45" s="64">
        <v>0</v>
      </c>
      <c r="E45" s="22">
        <v>0</v>
      </c>
      <c r="F45" s="10">
        <v>0</v>
      </c>
    </row>
    <row r="46" spans="1:6" s="15" customFormat="1" x14ac:dyDescent="0.15">
      <c r="A46" s="18" t="s">
        <v>231</v>
      </c>
      <c r="B46" s="4" t="s">
        <v>117</v>
      </c>
      <c r="C46" s="21">
        <f t="shared" ref="C46:E46" si="10">+C47+C49+C48</f>
        <v>2960</v>
      </c>
      <c r="D46" s="21">
        <f t="shared" si="10"/>
        <v>588.12</v>
      </c>
      <c r="E46" s="21">
        <f t="shared" si="10"/>
        <v>2097.64</v>
      </c>
      <c r="F46" s="20">
        <f>E46/C46*100</f>
        <v>70.866216216216216</v>
      </c>
    </row>
    <row r="47" spans="1:6" x14ac:dyDescent="0.15">
      <c r="A47" s="17" t="s">
        <v>230</v>
      </c>
      <c r="B47" s="2" t="s">
        <v>229</v>
      </c>
      <c r="C47" s="64">
        <v>2960</v>
      </c>
      <c r="D47" s="64">
        <v>588.12</v>
      </c>
      <c r="E47" s="64">
        <v>2097.64</v>
      </c>
      <c r="F47" s="10">
        <f>E47/C47*100</f>
        <v>70.866216216216216</v>
      </c>
    </row>
    <row r="48" spans="1:6" x14ac:dyDescent="0.15">
      <c r="A48" s="17" t="s">
        <v>228</v>
      </c>
      <c r="B48" s="2" t="s">
        <v>227</v>
      </c>
      <c r="C48" s="64">
        <v>0</v>
      </c>
      <c r="D48" s="64">
        <v>0</v>
      </c>
      <c r="E48" s="64">
        <v>0</v>
      </c>
      <c r="F48" s="10">
        <v>0</v>
      </c>
    </row>
    <row r="49" spans="1:8" x14ac:dyDescent="0.15">
      <c r="A49" s="17" t="s">
        <v>226</v>
      </c>
      <c r="B49" s="2" t="s">
        <v>225</v>
      </c>
      <c r="C49" s="64">
        <v>0</v>
      </c>
      <c r="D49" s="64">
        <v>0</v>
      </c>
      <c r="E49" s="64">
        <v>0</v>
      </c>
      <c r="F49" s="10">
        <v>0</v>
      </c>
    </row>
    <row r="50" spans="1:8" s="15" customFormat="1" x14ac:dyDescent="0.15">
      <c r="A50" s="18" t="s">
        <v>224</v>
      </c>
      <c r="B50" s="4" t="s">
        <v>116</v>
      </c>
      <c r="C50" s="5">
        <v>230000</v>
      </c>
      <c r="D50" s="21">
        <v>80586.38</v>
      </c>
      <c r="E50" s="21">
        <v>165666.32999999999</v>
      </c>
      <c r="F50" s="20">
        <f t="shared" ref="F50:F56" si="11">E50/C50*100</f>
        <v>72.028839130434775</v>
      </c>
      <c r="H50" s="24"/>
    </row>
    <row r="51" spans="1:8" s="15" customFormat="1" x14ac:dyDescent="0.15">
      <c r="A51" s="18" t="s">
        <v>223</v>
      </c>
      <c r="B51" s="4" t="s">
        <v>115</v>
      </c>
      <c r="C51" s="5">
        <f t="shared" ref="C51:E51" si="12">SUM(C52:C58)</f>
        <v>238500</v>
      </c>
      <c r="D51" s="5">
        <f t="shared" si="12"/>
        <v>43831.02</v>
      </c>
      <c r="E51" s="5">
        <f t="shared" si="12"/>
        <v>212869.69999999998</v>
      </c>
      <c r="F51" s="20">
        <f t="shared" si="11"/>
        <v>89.253542976939187</v>
      </c>
    </row>
    <row r="52" spans="1:8" x14ac:dyDescent="0.15">
      <c r="A52" s="17" t="s">
        <v>222</v>
      </c>
      <c r="B52" s="2" t="s">
        <v>221</v>
      </c>
      <c r="C52" s="64">
        <v>124000</v>
      </c>
      <c r="D52" s="64">
        <v>19329.099999999999</v>
      </c>
      <c r="E52" s="64">
        <v>123764.78</v>
      </c>
      <c r="F52" s="10">
        <f t="shared" si="11"/>
        <v>99.810306451612902</v>
      </c>
    </row>
    <row r="53" spans="1:8" x14ac:dyDescent="0.15">
      <c r="A53" s="17" t="s">
        <v>220</v>
      </c>
      <c r="B53" s="2" t="s">
        <v>219</v>
      </c>
      <c r="C53" s="64">
        <v>50000</v>
      </c>
      <c r="D53" s="64">
        <v>1714.41</v>
      </c>
      <c r="E53" s="64">
        <v>39996.89</v>
      </c>
      <c r="F53" s="10">
        <f t="shared" si="11"/>
        <v>79.993780000000001</v>
      </c>
    </row>
    <row r="54" spans="1:8" x14ac:dyDescent="0.15">
      <c r="A54" s="17" t="s">
        <v>218</v>
      </c>
      <c r="B54" s="2" t="s">
        <v>217</v>
      </c>
      <c r="C54" s="64">
        <v>18300</v>
      </c>
      <c r="D54" s="64">
        <v>12885.88</v>
      </c>
      <c r="E54" s="64">
        <v>18284.11</v>
      </c>
      <c r="F54" s="10">
        <f t="shared" si="11"/>
        <v>99.913169398907115</v>
      </c>
    </row>
    <row r="55" spans="1:8" x14ac:dyDescent="0.15">
      <c r="A55" s="17" t="s">
        <v>216</v>
      </c>
      <c r="B55" s="2" t="s">
        <v>215</v>
      </c>
      <c r="C55" s="64">
        <v>12000</v>
      </c>
      <c r="D55" s="64">
        <v>5478.84</v>
      </c>
      <c r="E55" s="64">
        <v>9628.09</v>
      </c>
      <c r="F55" s="10">
        <f t="shared" si="11"/>
        <v>80.234083333333345</v>
      </c>
    </row>
    <row r="56" spans="1:8" x14ac:dyDescent="0.15">
      <c r="A56" s="17" t="s">
        <v>214</v>
      </c>
      <c r="B56" s="2" t="s">
        <v>213</v>
      </c>
      <c r="C56" s="64">
        <v>4800</v>
      </c>
      <c r="D56" s="64">
        <v>2803.35</v>
      </c>
      <c r="E56" s="64">
        <v>2803.35</v>
      </c>
      <c r="F56" s="10">
        <f t="shared" si="11"/>
        <v>58.403125000000003</v>
      </c>
    </row>
    <row r="57" spans="1:8" x14ac:dyDescent="0.15">
      <c r="A57" s="17" t="s">
        <v>212</v>
      </c>
      <c r="B57" s="2" t="s">
        <v>18</v>
      </c>
      <c r="C57" s="64">
        <v>0</v>
      </c>
      <c r="D57" s="64">
        <v>0</v>
      </c>
      <c r="E57" s="64">
        <v>0</v>
      </c>
      <c r="F57" s="10">
        <v>0</v>
      </c>
    </row>
    <row r="58" spans="1:8" x14ac:dyDescent="0.15">
      <c r="A58" s="17" t="s">
        <v>211</v>
      </c>
      <c r="B58" s="2" t="s">
        <v>210</v>
      </c>
      <c r="C58" s="64">
        <v>29400</v>
      </c>
      <c r="D58" s="64">
        <v>1619.44</v>
      </c>
      <c r="E58" s="64">
        <v>18392.48</v>
      </c>
      <c r="F58" s="10">
        <f>E58/C58*100</f>
        <v>62.559455782312924</v>
      </c>
    </row>
    <row r="59" spans="1:8" s="15" customFormat="1" x14ac:dyDescent="0.15">
      <c r="A59" s="18" t="s">
        <v>209</v>
      </c>
      <c r="B59" s="4" t="s">
        <v>113</v>
      </c>
      <c r="C59" s="5">
        <v>100</v>
      </c>
      <c r="D59" s="21">
        <v>0</v>
      </c>
      <c r="E59" s="21">
        <v>0</v>
      </c>
      <c r="F59" s="20">
        <f>E59/C59*100</f>
        <v>0</v>
      </c>
    </row>
    <row r="60" spans="1:8" s="15" customFormat="1" ht="21" x14ac:dyDescent="0.15">
      <c r="A60" s="18" t="s">
        <v>208</v>
      </c>
      <c r="B60" s="4" t="s">
        <v>112</v>
      </c>
      <c r="C60" s="5">
        <f t="shared" ref="C60:E60" si="13">SUM(C61,C71)</f>
        <v>4212550</v>
      </c>
      <c r="D60" s="5">
        <f t="shared" si="13"/>
        <v>585323.64</v>
      </c>
      <c r="E60" s="5">
        <f t="shared" si="13"/>
        <v>4084580.83</v>
      </c>
      <c r="F60" s="20">
        <f>E60/C60*100</f>
        <v>96.96219225884559</v>
      </c>
    </row>
    <row r="61" spans="1:8" ht="21" x14ac:dyDescent="0.15">
      <c r="A61" s="18" t="s">
        <v>207</v>
      </c>
      <c r="B61" s="4" t="s">
        <v>112</v>
      </c>
      <c r="C61" s="5">
        <f t="shared" ref="C61" si="14">SUM(C62:C70)</f>
        <v>1632550</v>
      </c>
      <c r="D61" s="5">
        <f t="shared" ref="D61" si="15">SUM(D62:D70)</f>
        <v>283411.49</v>
      </c>
      <c r="E61" s="5">
        <f>SUM(E62:E70)</f>
        <v>1533700.39</v>
      </c>
      <c r="F61" s="20">
        <f>E61/C61*100</f>
        <v>93.945079170622634</v>
      </c>
    </row>
    <row r="62" spans="1:8" x14ac:dyDescent="0.15">
      <c r="A62" s="17" t="s">
        <v>206</v>
      </c>
      <c r="B62" s="2" t="s">
        <v>205</v>
      </c>
      <c r="C62" s="64">
        <v>0</v>
      </c>
      <c r="D62" s="64">
        <v>0</v>
      </c>
      <c r="E62" s="64">
        <v>0</v>
      </c>
      <c r="F62" s="10">
        <v>0</v>
      </c>
    </row>
    <row r="63" spans="1:8" x14ac:dyDescent="0.15">
      <c r="A63" s="17" t="s">
        <v>204</v>
      </c>
      <c r="B63" s="2" t="s">
        <v>203</v>
      </c>
      <c r="C63" s="64">
        <v>11000</v>
      </c>
      <c r="D63" s="64">
        <v>2120.9499999999998</v>
      </c>
      <c r="E63" s="64">
        <v>10606.05</v>
      </c>
      <c r="F63" s="10">
        <f t="shared" ref="F63:F71" si="16">E63/C63*100</f>
        <v>96.418636363636352</v>
      </c>
    </row>
    <row r="64" spans="1:8" x14ac:dyDescent="0.15">
      <c r="A64" s="17" t="s">
        <v>202</v>
      </c>
      <c r="B64" s="2" t="s">
        <v>201</v>
      </c>
      <c r="C64" s="64">
        <v>345600</v>
      </c>
      <c r="D64" s="64">
        <v>74707.27</v>
      </c>
      <c r="E64" s="64">
        <v>293319.55</v>
      </c>
      <c r="F64" s="10">
        <f t="shared" si="16"/>
        <v>84.872554976851845</v>
      </c>
    </row>
    <row r="65" spans="1:8" x14ac:dyDescent="0.15">
      <c r="A65" s="17" t="s">
        <v>200</v>
      </c>
      <c r="B65" s="2" t="s">
        <v>199</v>
      </c>
      <c r="C65" s="64">
        <v>10000</v>
      </c>
      <c r="D65" s="64">
        <v>1667</v>
      </c>
      <c r="E65" s="64">
        <v>9098.5</v>
      </c>
      <c r="F65" s="10">
        <f t="shared" si="16"/>
        <v>90.984999999999999</v>
      </c>
    </row>
    <row r="66" spans="1:8" ht="21" x14ac:dyDescent="0.15">
      <c r="A66" s="17" t="s">
        <v>198</v>
      </c>
      <c r="B66" s="2" t="s">
        <v>197</v>
      </c>
      <c r="C66" s="64">
        <v>25000</v>
      </c>
      <c r="D66" s="64">
        <v>12804.76</v>
      </c>
      <c r="E66" s="64">
        <v>20667.36</v>
      </c>
      <c r="F66" s="10">
        <f t="shared" si="16"/>
        <v>82.669440000000009</v>
      </c>
    </row>
    <row r="67" spans="1:8" x14ac:dyDescent="0.15">
      <c r="A67" s="17" t="s">
        <v>196</v>
      </c>
      <c r="B67" s="2" t="s">
        <v>195</v>
      </c>
      <c r="C67" s="64">
        <v>45000</v>
      </c>
      <c r="D67" s="64">
        <v>9430</v>
      </c>
      <c r="E67" s="64">
        <v>33950</v>
      </c>
      <c r="F67" s="10">
        <f t="shared" si="16"/>
        <v>75.444444444444443</v>
      </c>
    </row>
    <row r="68" spans="1:8" x14ac:dyDescent="0.15">
      <c r="A68" s="17" t="s">
        <v>194</v>
      </c>
      <c r="B68" s="2" t="s">
        <v>193</v>
      </c>
      <c r="C68" s="64">
        <v>3000</v>
      </c>
      <c r="D68" s="64">
        <v>0</v>
      </c>
      <c r="E68" s="64">
        <v>0</v>
      </c>
      <c r="F68" s="10">
        <f t="shared" si="16"/>
        <v>0</v>
      </c>
      <c r="G68" s="25"/>
      <c r="H68" s="25"/>
    </row>
    <row r="69" spans="1:8" x14ac:dyDescent="0.15">
      <c r="A69" s="17" t="s">
        <v>192</v>
      </c>
      <c r="B69" s="2" t="s">
        <v>191</v>
      </c>
      <c r="C69" s="64">
        <v>55450</v>
      </c>
      <c r="D69" s="64">
        <v>506.26</v>
      </c>
      <c r="E69" s="64">
        <v>52867.28</v>
      </c>
      <c r="F69" s="10">
        <f t="shared" si="16"/>
        <v>95.342254283137962</v>
      </c>
    </row>
    <row r="70" spans="1:8" x14ac:dyDescent="0.15">
      <c r="A70" s="17" t="s">
        <v>190</v>
      </c>
      <c r="B70" s="2" t="s">
        <v>189</v>
      </c>
      <c r="C70" s="64">
        <v>1137500</v>
      </c>
      <c r="D70" s="64">
        <v>182175.25</v>
      </c>
      <c r="E70" s="64">
        <v>1113191.6499999999</v>
      </c>
      <c r="F70" s="10">
        <f t="shared" si="16"/>
        <v>97.863002197802189</v>
      </c>
    </row>
    <row r="71" spans="1:8" s="15" customFormat="1" x14ac:dyDescent="0.15">
      <c r="A71" s="18" t="s">
        <v>188</v>
      </c>
      <c r="B71" s="4" t="s">
        <v>111</v>
      </c>
      <c r="C71" s="21">
        <f t="shared" ref="C71:D71" si="17">+C72+C73+C74</f>
        <v>2580000</v>
      </c>
      <c r="D71" s="21">
        <f t="shared" si="17"/>
        <v>301912.15000000002</v>
      </c>
      <c r="E71" s="21">
        <f>+E72+E73+E74</f>
        <v>2550880.44</v>
      </c>
      <c r="F71" s="20">
        <f t="shared" si="16"/>
        <v>98.871334883720934</v>
      </c>
    </row>
    <row r="72" spans="1:8" x14ac:dyDescent="0.15">
      <c r="A72" s="17" t="s">
        <v>187</v>
      </c>
      <c r="B72" s="2" t="s">
        <v>186</v>
      </c>
      <c r="C72" s="64">
        <v>0</v>
      </c>
      <c r="D72" s="64">
        <v>0</v>
      </c>
      <c r="E72" s="64">
        <v>0</v>
      </c>
      <c r="F72" s="10">
        <v>0</v>
      </c>
    </row>
    <row r="73" spans="1:8" x14ac:dyDescent="0.15">
      <c r="A73" s="17" t="s">
        <v>185</v>
      </c>
      <c r="B73" s="2" t="s">
        <v>184</v>
      </c>
      <c r="C73" s="64">
        <v>0</v>
      </c>
      <c r="D73" s="64">
        <v>0</v>
      </c>
      <c r="E73" s="64">
        <v>0</v>
      </c>
      <c r="F73" s="10">
        <v>0</v>
      </c>
    </row>
    <row r="74" spans="1:8" x14ac:dyDescent="0.15">
      <c r="A74" s="17" t="s">
        <v>183</v>
      </c>
      <c r="B74" s="2" t="s">
        <v>182</v>
      </c>
      <c r="C74" s="64">
        <v>2580000</v>
      </c>
      <c r="D74" s="64">
        <v>301912.15000000002</v>
      </c>
      <c r="E74" s="64">
        <v>2550880.44</v>
      </c>
      <c r="F74" s="10">
        <f>E74/C74*100</f>
        <v>98.871334883720934</v>
      </c>
    </row>
    <row r="75" spans="1:8" s="15" customFormat="1" x14ac:dyDescent="0.15">
      <c r="A75" s="18" t="s">
        <v>181</v>
      </c>
      <c r="B75" s="4" t="s">
        <v>110</v>
      </c>
      <c r="C75" s="5">
        <f>+C76</f>
        <v>1800325</v>
      </c>
      <c r="D75" s="5">
        <f t="shared" ref="D75:E75" si="18">+D76</f>
        <v>134085.92000000001</v>
      </c>
      <c r="E75" s="5">
        <f t="shared" si="18"/>
        <v>507300.18999999994</v>
      </c>
      <c r="F75" s="20">
        <f>E75/C75*100</f>
        <v>28.178256148195462</v>
      </c>
    </row>
    <row r="76" spans="1:8" x14ac:dyDescent="0.15">
      <c r="A76" s="18" t="s">
        <v>180</v>
      </c>
      <c r="B76" s="4" t="s">
        <v>110</v>
      </c>
      <c r="C76" s="5">
        <f>SUM(C77:C83)</f>
        <v>1800325</v>
      </c>
      <c r="D76" s="5">
        <f t="shared" ref="D76:E76" si="19">SUM(D77:D83)</f>
        <v>134085.92000000001</v>
      </c>
      <c r="E76" s="5">
        <f t="shared" si="19"/>
        <v>507300.18999999994</v>
      </c>
      <c r="F76" s="20">
        <f>E76/C76*100</f>
        <v>28.178256148195462</v>
      </c>
    </row>
    <row r="77" spans="1:8" x14ac:dyDescent="0.15">
      <c r="A77" s="17" t="s">
        <v>179</v>
      </c>
      <c r="B77" s="2" t="s">
        <v>178</v>
      </c>
      <c r="C77" s="64">
        <v>1000</v>
      </c>
      <c r="D77" s="64">
        <v>0</v>
      </c>
      <c r="E77" s="64">
        <v>0</v>
      </c>
      <c r="F77" s="10">
        <v>0</v>
      </c>
    </row>
    <row r="78" spans="1:8" x14ac:dyDescent="0.15">
      <c r="A78" s="17" t="s">
        <v>177</v>
      </c>
      <c r="B78" s="2" t="s">
        <v>176</v>
      </c>
      <c r="C78" s="64">
        <v>311500</v>
      </c>
      <c r="D78" s="64">
        <v>25803.25</v>
      </c>
      <c r="E78" s="64">
        <v>66348.25</v>
      </c>
      <c r="F78" s="10">
        <f>E78/C78*100</f>
        <v>21.299598715890848</v>
      </c>
    </row>
    <row r="79" spans="1:8" x14ac:dyDescent="0.15">
      <c r="A79" s="17" t="s">
        <v>175</v>
      </c>
      <c r="B79" s="2" t="s">
        <v>174</v>
      </c>
      <c r="C79" s="64">
        <v>662535</v>
      </c>
      <c r="D79" s="64">
        <v>70885.02</v>
      </c>
      <c r="E79" s="64">
        <v>226241.84</v>
      </c>
      <c r="F79" s="10">
        <f>E79/C79*100</f>
        <v>34.14790765770865</v>
      </c>
    </row>
    <row r="80" spans="1:8" x14ac:dyDescent="0.15">
      <c r="A80" s="17" t="s">
        <v>173</v>
      </c>
      <c r="B80" s="2" t="s">
        <v>172</v>
      </c>
      <c r="C80" s="64">
        <v>0</v>
      </c>
      <c r="D80" s="64">
        <v>0</v>
      </c>
      <c r="E80" s="64">
        <v>0</v>
      </c>
      <c r="F80" s="10">
        <v>0</v>
      </c>
    </row>
    <row r="81" spans="1:8" x14ac:dyDescent="0.15">
      <c r="A81" s="17" t="s">
        <v>171</v>
      </c>
      <c r="B81" s="2" t="s">
        <v>170</v>
      </c>
      <c r="C81" s="64">
        <v>139290</v>
      </c>
      <c r="D81" s="64">
        <v>13554.93</v>
      </c>
      <c r="E81" s="64">
        <v>116047.31</v>
      </c>
      <c r="F81" s="10">
        <f>E81/C81*100</f>
        <v>83.313453945006827</v>
      </c>
    </row>
    <row r="82" spans="1:8" x14ac:dyDescent="0.15">
      <c r="A82" s="17" t="s">
        <v>169</v>
      </c>
      <c r="B82" s="2" t="s">
        <v>168</v>
      </c>
      <c r="C82" s="64">
        <v>260500</v>
      </c>
      <c r="D82" s="64">
        <v>0</v>
      </c>
      <c r="E82" s="64">
        <v>8537.76</v>
      </c>
      <c r="F82" s="10">
        <f>E82/C82*100</f>
        <v>3.2774510556621879</v>
      </c>
    </row>
    <row r="83" spans="1:8" x14ac:dyDescent="0.15">
      <c r="A83" s="17" t="s">
        <v>167</v>
      </c>
      <c r="B83" s="2" t="s">
        <v>166</v>
      </c>
      <c r="C83" s="64">
        <v>425500</v>
      </c>
      <c r="D83" s="64">
        <v>23842.720000000001</v>
      </c>
      <c r="E83" s="64">
        <v>90125.03</v>
      </c>
      <c r="F83" s="10">
        <f>E83/C83*100</f>
        <v>21.180970622796711</v>
      </c>
    </row>
    <row r="84" spans="1:8" s="15" customFormat="1" x14ac:dyDescent="0.15">
      <c r="A84" s="18" t="s">
        <v>165</v>
      </c>
      <c r="B84" s="4" t="s">
        <v>93</v>
      </c>
      <c r="C84" s="5">
        <v>0</v>
      </c>
      <c r="D84" s="21">
        <v>0</v>
      </c>
      <c r="E84" s="21">
        <v>0</v>
      </c>
      <c r="F84" s="20">
        <v>0</v>
      </c>
    </row>
    <row r="85" spans="1:8" x14ac:dyDescent="0.15">
      <c r="A85" s="18" t="s">
        <v>164</v>
      </c>
      <c r="B85" s="4" t="s">
        <v>93</v>
      </c>
      <c r="C85" s="5">
        <v>0</v>
      </c>
      <c r="D85" s="21">
        <v>0</v>
      </c>
      <c r="E85" s="21">
        <v>0</v>
      </c>
      <c r="F85" s="20">
        <v>0</v>
      </c>
    </row>
    <row r="86" spans="1:8" x14ac:dyDescent="0.15">
      <c r="A86" s="17" t="s">
        <v>163</v>
      </c>
      <c r="B86" s="2" t="s">
        <v>162</v>
      </c>
      <c r="C86" s="65">
        <v>0</v>
      </c>
      <c r="D86" s="22">
        <v>0</v>
      </c>
      <c r="E86" s="64">
        <v>0</v>
      </c>
      <c r="F86" s="10">
        <v>0</v>
      </c>
    </row>
    <row r="87" spans="1:8" x14ac:dyDescent="0.15">
      <c r="A87" s="17" t="s">
        <v>161</v>
      </c>
      <c r="B87" s="2" t="s">
        <v>160</v>
      </c>
      <c r="C87" s="65">
        <v>0</v>
      </c>
      <c r="D87" s="22">
        <v>0</v>
      </c>
      <c r="E87" s="64">
        <v>0</v>
      </c>
      <c r="F87" s="10">
        <v>0</v>
      </c>
    </row>
    <row r="88" spans="1:8" x14ac:dyDescent="0.15">
      <c r="A88" s="17" t="s">
        <v>159</v>
      </c>
      <c r="B88" s="2" t="s">
        <v>158</v>
      </c>
      <c r="C88" s="65">
        <v>0</v>
      </c>
      <c r="D88" s="22">
        <v>0</v>
      </c>
      <c r="E88" s="64">
        <v>0</v>
      </c>
      <c r="F88" s="10">
        <v>0</v>
      </c>
    </row>
    <row r="89" spans="1:8" s="15" customFormat="1" x14ac:dyDescent="0.15">
      <c r="A89" s="18" t="s">
        <v>157</v>
      </c>
      <c r="B89" s="4" t="s">
        <v>109</v>
      </c>
      <c r="C89" s="21">
        <f>+C90+C96+C93</f>
        <v>2342085</v>
      </c>
      <c r="D89" s="21">
        <f t="shared" ref="D89:E89" si="20">+D90+D96+D93</f>
        <v>248414.97</v>
      </c>
      <c r="E89" s="21">
        <f t="shared" si="20"/>
        <v>2328887.5699999998</v>
      </c>
      <c r="F89" s="20">
        <f>E89/C89*100</f>
        <v>99.43650934957526</v>
      </c>
    </row>
    <row r="90" spans="1:8" x14ac:dyDescent="0.15">
      <c r="A90" s="18" t="s">
        <v>156</v>
      </c>
      <c r="B90" s="4" t="s">
        <v>155</v>
      </c>
      <c r="C90" s="5">
        <f>+C91</f>
        <v>941000</v>
      </c>
      <c r="D90" s="5">
        <f t="shared" ref="D90:E90" si="21">+D91</f>
        <v>168613.47</v>
      </c>
      <c r="E90" s="5">
        <f t="shared" si="21"/>
        <v>940251.91</v>
      </c>
      <c r="F90" s="20">
        <f>E90/C90*100</f>
        <v>99.920500531349632</v>
      </c>
    </row>
    <row r="91" spans="1:8" x14ac:dyDescent="0.15">
      <c r="A91" s="17" t="s">
        <v>154</v>
      </c>
      <c r="B91" s="2" t="s">
        <v>153</v>
      </c>
      <c r="C91" s="65">
        <v>941000</v>
      </c>
      <c r="D91" s="64">
        <f>158196.47+10417</f>
        <v>168613.47</v>
      </c>
      <c r="E91" s="64">
        <f>929834.91+10417</f>
        <v>940251.91</v>
      </c>
      <c r="F91" s="10">
        <f>E91/C91*100</f>
        <v>99.920500531349632</v>
      </c>
    </row>
    <row r="92" spans="1:8" x14ac:dyDescent="0.15">
      <c r="A92" s="17" t="s">
        <v>152</v>
      </c>
      <c r="B92" s="2" t="s">
        <v>151</v>
      </c>
      <c r="C92" s="65">
        <v>0</v>
      </c>
      <c r="D92" s="64">
        <v>0</v>
      </c>
      <c r="E92" s="64">
        <v>0</v>
      </c>
      <c r="F92" s="10">
        <v>0</v>
      </c>
    </row>
    <row r="93" spans="1:8" x14ac:dyDescent="0.15">
      <c r="A93" s="18" t="s">
        <v>150</v>
      </c>
      <c r="B93" s="4" t="s">
        <v>149</v>
      </c>
      <c r="C93" s="5">
        <v>0</v>
      </c>
      <c r="D93" s="22">
        <v>0</v>
      </c>
      <c r="E93" s="21">
        <v>0</v>
      </c>
      <c r="F93" s="20">
        <v>0</v>
      </c>
      <c r="G93" s="25"/>
      <c r="H93" s="25"/>
    </row>
    <row r="94" spans="1:8" x14ac:dyDescent="0.15">
      <c r="A94" s="17" t="s">
        <v>148</v>
      </c>
      <c r="B94" s="2" t="s">
        <v>147</v>
      </c>
      <c r="C94" s="65">
        <v>0</v>
      </c>
      <c r="D94" s="22">
        <v>0</v>
      </c>
      <c r="E94" s="64">
        <v>0</v>
      </c>
      <c r="F94" s="10">
        <v>0</v>
      </c>
    </row>
    <row r="95" spans="1:8" x14ac:dyDescent="0.15">
      <c r="A95" s="17" t="s">
        <v>146</v>
      </c>
      <c r="B95" s="2" t="s">
        <v>145</v>
      </c>
      <c r="C95" s="65">
        <v>0</v>
      </c>
      <c r="D95" s="22">
        <v>0</v>
      </c>
      <c r="E95" s="64">
        <v>0</v>
      </c>
      <c r="F95" s="10">
        <v>0</v>
      </c>
    </row>
    <row r="96" spans="1:8" x14ac:dyDescent="0.15">
      <c r="A96" s="18" t="s">
        <v>144</v>
      </c>
      <c r="B96" s="4" t="s">
        <v>142</v>
      </c>
      <c r="C96" s="5">
        <f>+C97</f>
        <v>1401085</v>
      </c>
      <c r="D96" s="5">
        <f t="shared" ref="D96:E96" si="22">+D97</f>
        <v>79801.5</v>
      </c>
      <c r="E96" s="5">
        <f t="shared" si="22"/>
        <v>1388635.66</v>
      </c>
      <c r="F96" s="20">
        <f>E96/C96*100</f>
        <v>99.11145005477897</v>
      </c>
    </row>
    <row r="97" spans="1:6" x14ac:dyDescent="0.15">
      <c r="A97" s="17" t="s">
        <v>143</v>
      </c>
      <c r="B97" s="2" t="s">
        <v>142</v>
      </c>
      <c r="C97" s="64">
        <v>1401085</v>
      </c>
      <c r="D97" s="64">
        <f>90218.5-10417</f>
        <v>79801.5</v>
      </c>
      <c r="E97" s="64">
        <f>1399052.66-10417</f>
        <v>1388635.66</v>
      </c>
      <c r="F97" s="10">
        <f>E97/C97*100</f>
        <v>99.11145005477897</v>
      </c>
    </row>
    <row r="98" spans="1:6" s="15" customFormat="1" x14ac:dyDescent="0.15">
      <c r="A98" s="18" t="s">
        <v>141</v>
      </c>
      <c r="B98" s="4" t="s">
        <v>140</v>
      </c>
      <c r="C98" s="5">
        <f>+C99+C100+C101</f>
        <v>208000</v>
      </c>
      <c r="D98" s="5">
        <f t="shared" ref="D98:E98" si="23">+D99+D100+D101</f>
        <v>11034.49</v>
      </c>
      <c r="E98" s="5">
        <f t="shared" si="23"/>
        <v>197103.22</v>
      </c>
      <c r="F98" s="20">
        <f>E98/C98*100</f>
        <v>94.761163461538473</v>
      </c>
    </row>
    <row r="99" spans="1:6" x14ac:dyDescent="0.15">
      <c r="A99" s="17" t="s">
        <v>139</v>
      </c>
      <c r="B99" s="2" t="s">
        <v>138</v>
      </c>
      <c r="C99" s="64">
        <v>198000</v>
      </c>
      <c r="D99" s="64">
        <v>11034.49</v>
      </c>
      <c r="E99" s="64">
        <v>197103.22</v>
      </c>
      <c r="F99" s="10">
        <f>E99/C99*100</f>
        <v>99.547080808080807</v>
      </c>
    </row>
    <row r="100" spans="1:6" x14ac:dyDescent="0.15">
      <c r="A100" s="17" t="s">
        <v>137</v>
      </c>
      <c r="B100" s="2" t="s">
        <v>136</v>
      </c>
      <c r="C100" s="64">
        <v>10000</v>
      </c>
      <c r="D100" s="64">
        <v>0</v>
      </c>
      <c r="E100" s="64">
        <v>0</v>
      </c>
      <c r="F100" s="10">
        <f t="shared" ref="F100" si="24">E100/C100*100</f>
        <v>0</v>
      </c>
    </row>
    <row r="101" spans="1:6" x14ac:dyDescent="0.15">
      <c r="A101" s="17" t="s">
        <v>135</v>
      </c>
      <c r="B101" s="2" t="s">
        <v>134</v>
      </c>
      <c r="C101" s="64">
        <v>0</v>
      </c>
      <c r="D101" s="64">
        <v>0</v>
      </c>
      <c r="E101" s="64">
        <v>0</v>
      </c>
      <c r="F101" s="10">
        <v>0</v>
      </c>
    </row>
    <row r="102" spans="1:6" s="15" customFormat="1" ht="15" customHeight="1" thickBot="1" x14ac:dyDescent="0.2">
      <c r="A102" s="16" t="s">
        <v>133</v>
      </c>
      <c r="B102" s="6" t="s">
        <v>132</v>
      </c>
      <c r="C102" s="121">
        <f t="shared" ref="C102:E102" si="25">SUM(C6,C75,C84,C89,C98)</f>
        <v>11950000</v>
      </c>
      <c r="D102" s="121">
        <f t="shared" si="25"/>
        <v>1516528.04</v>
      </c>
      <c r="E102" s="121">
        <f t="shared" si="25"/>
        <v>10085439.270000001</v>
      </c>
      <c r="F102" s="7">
        <f>E102/C102*100</f>
        <v>84.396981338912141</v>
      </c>
    </row>
    <row r="104" spans="1:6" x14ac:dyDescent="0.15">
      <c r="D104" s="25"/>
    </row>
    <row r="105" spans="1:6" x14ac:dyDescent="0.15">
      <c r="C105" s="25"/>
      <c r="D105" s="25"/>
      <c r="E105" s="25"/>
      <c r="F105" s="25"/>
    </row>
    <row r="106" spans="1:6" x14ac:dyDescent="0.15">
      <c r="D106" s="25"/>
      <c r="E106" s="25"/>
    </row>
    <row r="107" spans="1:6" x14ac:dyDescent="0.15">
      <c r="E107" s="25"/>
    </row>
    <row r="108" spans="1:6" x14ac:dyDescent="0.15">
      <c r="D108" s="25"/>
      <c r="E108" s="25"/>
    </row>
    <row r="110" spans="1:6" x14ac:dyDescent="0.15">
      <c r="E110" s="25"/>
    </row>
    <row r="116" spans="5:5" x14ac:dyDescent="0.15">
      <c r="E116" s="25"/>
    </row>
    <row r="139" spans="1:5" ht="12" x14ac:dyDescent="0.2">
      <c r="A139" s="14" t="s">
        <v>131</v>
      </c>
      <c r="B139" s="19"/>
      <c r="C139" s="19"/>
      <c r="D139" s="19"/>
      <c r="E139" s="9"/>
    </row>
    <row r="140" spans="1:5" x14ac:dyDescent="0.15">
      <c r="A140" s="13"/>
      <c r="B140" s="9"/>
      <c r="C140" s="9"/>
      <c r="D140" s="9"/>
      <c r="E140" s="9"/>
    </row>
    <row r="141" spans="1:5" ht="60" x14ac:dyDescent="0.15">
      <c r="A141" s="13"/>
      <c r="B141" s="97" t="s">
        <v>130</v>
      </c>
      <c r="C141" s="98" t="s">
        <v>367</v>
      </c>
      <c r="D141" s="9"/>
      <c r="E141" s="9"/>
    </row>
    <row r="142" spans="1:5" ht="12" x14ac:dyDescent="0.2">
      <c r="A142" s="13"/>
      <c r="B142" s="99" t="s">
        <v>129</v>
      </c>
      <c r="C142" s="21">
        <f>+C143+C144+C145+C146+C148+C147</f>
        <v>1050666.1100000001</v>
      </c>
      <c r="D142" s="23"/>
      <c r="E142" s="24"/>
    </row>
    <row r="143" spans="1:5" ht="12" x14ac:dyDescent="0.2">
      <c r="A143" s="13"/>
      <c r="B143" s="100" t="s">
        <v>128</v>
      </c>
      <c r="C143" s="22">
        <f>157435.28+1500</f>
        <v>158935.28</v>
      </c>
      <c r="D143" s="9"/>
      <c r="E143" s="23"/>
    </row>
    <row r="144" spans="1:5" ht="12" x14ac:dyDescent="0.2">
      <c r="A144" s="13"/>
      <c r="B144" s="100" t="s">
        <v>127</v>
      </c>
      <c r="C144" s="22">
        <v>58728.810000000005</v>
      </c>
      <c r="D144" s="9"/>
      <c r="E144" s="69"/>
    </row>
    <row r="145" spans="1:8" ht="12" x14ac:dyDescent="0.2">
      <c r="A145" s="13"/>
      <c r="B145" s="100" t="s">
        <v>126</v>
      </c>
      <c r="C145" s="22">
        <f>161917.24-48.71</f>
        <v>161868.53</v>
      </c>
      <c r="D145" s="9"/>
      <c r="E145" s="69"/>
      <c r="G145" s="25"/>
      <c r="H145" s="25"/>
    </row>
    <row r="146" spans="1:8" ht="12" x14ac:dyDescent="0.2">
      <c r="A146" s="13"/>
      <c r="B146" s="100" t="s">
        <v>125</v>
      </c>
      <c r="C146" s="22">
        <f>100810.41+1813.41-19.48</f>
        <v>102604.34000000001</v>
      </c>
      <c r="D146" s="9"/>
      <c r="E146" s="69"/>
    </row>
    <row r="147" spans="1:8" ht="12" x14ac:dyDescent="0.2">
      <c r="A147" s="13"/>
      <c r="B147" s="100" t="s">
        <v>124</v>
      </c>
      <c r="C147" s="22">
        <v>426.23</v>
      </c>
      <c r="D147" s="9"/>
      <c r="E147" s="70"/>
    </row>
    <row r="148" spans="1:8" ht="12" x14ac:dyDescent="0.2">
      <c r="A148" s="13"/>
      <c r="B148" s="100" t="s">
        <v>123</v>
      </c>
      <c r="C148" s="22">
        <f>331393.37+47341.91+47341.91+47341.91+47341.91+47341.91</f>
        <v>568102.92000000016</v>
      </c>
      <c r="D148" s="9"/>
      <c r="E148" s="23"/>
    </row>
    <row r="149" spans="1:8" ht="12" x14ac:dyDescent="0.2">
      <c r="A149" s="13"/>
      <c r="B149" s="99" t="s">
        <v>122</v>
      </c>
      <c r="C149" s="21">
        <f>23502-270+342</f>
        <v>23574</v>
      </c>
      <c r="D149" s="9"/>
      <c r="E149" s="24"/>
    </row>
    <row r="150" spans="1:8" ht="12" x14ac:dyDescent="0.2">
      <c r="A150" s="9"/>
      <c r="B150" s="99" t="s">
        <v>121</v>
      </c>
      <c r="C150" s="21">
        <f>37177.6+19.8+2071.14+4141.57+3465+100.45+7030.45</f>
        <v>54006.009999999995</v>
      </c>
      <c r="D150" s="9"/>
      <c r="E150" s="24"/>
    </row>
    <row r="151" spans="1:8" ht="12" x14ac:dyDescent="0.2">
      <c r="A151" s="9"/>
      <c r="B151" s="99" t="s">
        <v>120</v>
      </c>
      <c r="C151" s="21">
        <f>17539.63+422.75+2105.8+278.11</f>
        <v>20346.29</v>
      </c>
      <c r="D151" s="9"/>
      <c r="E151" s="24"/>
    </row>
    <row r="152" spans="1:8" ht="12" x14ac:dyDescent="0.2">
      <c r="A152" s="9"/>
      <c r="B152" s="99" t="s">
        <v>119</v>
      </c>
      <c r="C152" s="21">
        <f>4648.94+692.1+1070</f>
        <v>6411.04</v>
      </c>
      <c r="D152" s="9"/>
      <c r="E152" s="24"/>
    </row>
    <row r="153" spans="1:8" ht="12" x14ac:dyDescent="0.2">
      <c r="A153" s="9"/>
      <c r="B153" s="99" t="s">
        <v>118</v>
      </c>
      <c r="C153" s="21">
        <v>0</v>
      </c>
      <c r="D153" s="9"/>
      <c r="E153" s="24"/>
      <c r="F153" s="25"/>
    </row>
    <row r="154" spans="1:8" ht="12" x14ac:dyDescent="0.2">
      <c r="A154" s="9"/>
      <c r="B154" s="99" t="s">
        <v>117</v>
      </c>
      <c r="C154" s="21">
        <v>196.04</v>
      </c>
      <c r="D154" s="9"/>
      <c r="E154" s="24"/>
    </row>
    <row r="155" spans="1:8" ht="12" x14ac:dyDescent="0.2">
      <c r="A155" s="9"/>
      <c r="B155" s="99" t="s">
        <v>116</v>
      </c>
      <c r="C155" s="21">
        <v>270.10000000000002</v>
      </c>
      <c r="D155" s="9"/>
      <c r="E155" s="24"/>
      <c r="F155" s="25"/>
    </row>
    <row r="156" spans="1:8" ht="12" x14ac:dyDescent="0.2">
      <c r="A156" s="9"/>
      <c r="B156" s="99" t="s">
        <v>115</v>
      </c>
      <c r="C156" s="21">
        <f>24457.88+2958+1809.75</f>
        <v>29225.63</v>
      </c>
      <c r="D156" s="9"/>
      <c r="E156" s="24"/>
      <c r="F156" s="9"/>
    </row>
    <row r="157" spans="1:8" ht="12" x14ac:dyDescent="0.2">
      <c r="A157" s="9"/>
      <c r="B157" s="100" t="s">
        <v>114</v>
      </c>
      <c r="C157" s="22">
        <v>0</v>
      </c>
      <c r="D157" s="9"/>
      <c r="E157" s="23"/>
    </row>
    <row r="158" spans="1:8" ht="12" x14ac:dyDescent="0.2">
      <c r="A158" s="9"/>
      <c r="B158" s="99" t="s">
        <v>113</v>
      </c>
      <c r="C158" s="21">
        <v>0</v>
      </c>
      <c r="D158" s="9"/>
      <c r="E158" s="24"/>
    </row>
    <row r="159" spans="1:8" ht="26.25" customHeight="1" x14ac:dyDescent="0.15">
      <c r="A159" s="9"/>
      <c r="B159" s="101" t="s">
        <v>112</v>
      </c>
      <c r="C159" s="21">
        <f>88162.09+4294.6+10137.89+900+8227.75</f>
        <v>111722.33</v>
      </c>
      <c r="D159" s="9"/>
      <c r="E159" s="24"/>
    </row>
    <row r="160" spans="1:8" ht="12" x14ac:dyDescent="0.2">
      <c r="A160" s="9"/>
      <c r="B160" s="99" t="s">
        <v>111</v>
      </c>
      <c r="C160" s="21">
        <f>30410.63+4375.17+4294.6+3465+5699.1+3465+14345.3</f>
        <v>66054.8</v>
      </c>
      <c r="D160" s="9"/>
      <c r="E160" s="24"/>
    </row>
    <row r="161" spans="1:10" ht="12" x14ac:dyDescent="0.2">
      <c r="A161" s="9"/>
      <c r="B161" s="99" t="s">
        <v>110</v>
      </c>
      <c r="C161" s="21">
        <v>26163.31</v>
      </c>
      <c r="D161" s="9"/>
      <c r="E161" s="24"/>
    </row>
    <row r="162" spans="1:10" ht="12" x14ac:dyDescent="0.2">
      <c r="A162" s="9"/>
      <c r="B162" s="99" t="s">
        <v>93</v>
      </c>
      <c r="C162" s="21">
        <v>0</v>
      </c>
      <c r="D162" s="9"/>
      <c r="E162" s="24"/>
    </row>
    <row r="163" spans="1:10" ht="12" x14ac:dyDescent="0.2">
      <c r="A163" s="9"/>
      <c r="B163" s="99" t="s">
        <v>109</v>
      </c>
      <c r="C163" s="21">
        <v>0</v>
      </c>
      <c r="D163" s="9"/>
      <c r="E163" s="24"/>
      <c r="F163" s="25"/>
    </row>
    <row r="164" spans="1:10" ht="12" x14ac:dyDescent="0.2">
      <c r="A164" s="9"/>
      <c r="B164" s="102" t="s">
        <v>108</v>
      </c>
      <c r="C164" s="21">
        <f>+C142+C149+C150+C151+C152+C153+C154+C155+C156+C158+C159+C160+C161+C162+C163</f>
        <v>1388635.6600000004</v>
      </c>
      <c r="D164" s="9"/>
      <c r="E164" s="24"/>
    </row>
    <row r="165" spans="1:10" x14ac:dyDescent="0.15">
      <c r="A165" s="9"/>
      <c r="B165" s="9"/>
      <c r="C165" s="9"/>
      <c r="D165" s="9"/>
      <c r="E165" s="9"/>
    </row>
    <row r="166" spans="1:10" x14ac:dyDescent="0.15">
      <c r="A166" s="13"/>
      <c r="B166" s="23"/>
      <c r="C166" s="61"/>
      <c r="D166" s="9"/>
      <c r="E166" s="23"/>
    </row>
    <row r="167" spans="1:10" x14ac:dyDescent="0.15">
      <c r="A167" s="13"/>
      <c r="B167" s="23"/>
      <c r="C167" s="23"/>
      <c r="D167" s="23"/>
      <c r="E167" s="23"/>
    </row>
    <row r="168" spans="1:10" x14ac:dyDescent="0.15">
      <c r="B168" s="25"/>
      <c r="C168" s="25"/>
      <c r="D168" s="25"/>
      <c r="E168" s="25"/>
    </row>
    <row r="169" spans="1:10" x14ac:dyDescent="0.15">
      <c r="C169" s="25"/>
      <c r="E169" s="25"/>
    </row>
    <row r="170" spans="1:10" x14ac:dyDescent="0.15">
      <c r="C170" s="25"/>
      <c r="G170" s="25"/>
      <c r="H170" s="25"/>
    </row>
    <row r="172" spans="1:10" x14ac:dyDescent="0.15">
      <c r="C172" s="25"/>
    </row>
    <row r="173" spans="1:10" x14ac:dyDescent="0.15">
      <c r="J173" s="25"/>
    </row>
    <row r="174" spans="1:10" x14ac:dyDescent="0.15">
      <c r="C174" s="25"/>
      <c r="F174" s="25"/>
    </row>
    <row r="176" spans="1:10" x14ac:dyDescent="0.15">
      <c r="J176" s="25"/>
    </row>
    <row r="179" spans="10:10" x14ac:dyDescent="0.15">
      <c r="J179" s="25"/>
    </row>
  </sheetData>
  <mergeCells count="2">
    <mergeCell ref="E2:F2"/>
    <mergeCell ref="A4:F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2" workbookViewId="0">
      <selection activeCell="F30" sqref="F30"/>
    </sheetView>
  </sheetViews>
  <sheetFormatPr defaultRowHeight="15" x14ac:dyDescent="0.25"/>
  <cols>
    <col min="3" max="3" width="28.7109375" customWidth="1"/>
    <col min="4" max="4" width="16.5703125" customWidth="1"/>
    <col min="5" max="5" width="17.28515625" customWidth="1"/>
    <col min="6" max="6" width="19.140625" customWidth="1"/>
    <col min="7" max="7" width="21" customWidth="1"/>
    <col min="10" max="10" width="32.7109375" customWidth="1"/>
    <col min="11" max="11" width="16" customWidth="1"/>
  </cols>
  <sheetData>
    <row r="1" spans="1:10" ht="15.75" thickBot="1" x14ac:dyDescent="0.3">
      <c r="A1" s="27"/>
      <c r="B1" s="27"/>
      <c r="C1" s="27"/>
      <c r="D1" s="27"/>
      <c r="E1" s="27"/>
      <c r="F1" s="27"/>
      <c r="G1" s="27"/>
      <c r="H1" s="27"/>
    </row>
    <row r="2" spans="1:10" ht="16.5" thickBot="1" x14ac:dyDescent="0.3">
      <c r="A2" s="183" t="s">
        <v>1</v>
      </c>
      <c r="B2" s="184"/>
      <c r="C2" s="184"/>
      <c r="D2" s="184"/>
      <c r="E2" s="185"/>
      <c r="F2" s="186" t="s">
        <v>308</v>
      </c>
      <c r="G2" s="187"/>
      <c r="H2" s="28"/>
    </row>
    <row r="3" spans="1:10" ht="45.75" customHeight="1" x14ac:dyDescent="0.25">
      <c r="A3" s="29" t="s">
        <v>306</v>
      </c>
      <c r="B3" s="188" t="s">
        <v>309</v>
      </c>
      <c r="C3" s="189"/>
      <c r="D3" s="190" t="s">
        <v>368</v>
      </c>
      <c r="E3" s="191"/>
      <c r="F3" s="190" t="s">
        <v>369</v>
      </c>
      <c r="G3" s="191"/>
      <c r="H3" s="28"/>
    </row>
    <row r="4" spans="1:10" x14ac:dyDescent="0.25">
      <c r="A4" s="30" t="s">
        <v>303</v>
      </c>
      <c r="B4" s="173" t="s">
        <v>310</v>
      </c>
      <c r="C4" s="174"/>
      <c r="D4" s="163">
        <f>SUM(D5:D7)</f>
        <v>2938099.8600000003</v>
      </c>
      <c r="E4" s="164"/>
      <c r="F4" s="165">
        <f>+F5+F6+F7</f>
        <v>7675565.0900000008</v>
      </c>
      <c r="G4" s="166"/>
      <c r="H4" s="31"/>
      <c r="J4" s="57"/>
    </row>
    <row r="5" spans="1:10" ht="24" customHeight="1" x14ac:dyDescent="0.25">
      <c r="A5" s="32"/>
      <c r="B5" s="181" t="s">
        <v>311</v>
      </c>
      <c r="C5" s="182"/>
      <c r="D5" s="175">
        <v>2756483.41</v>
      </c>
      <c r="E5" s="176"/>
      <c r="F5" s="177">
        <v>7149025.7000000002</v>
      </c>
      <c r="G5" s="178"/>
      <c r="H5" s="31"/>
      <c r="J5" s="57"/>
    </row>
    <row r="6" spans="1:10" x14ac:dyDescent="0.25">
      <c r="A6" s="32"/>
      <c r="B6" s="179" t="s">
        <v>312</v>
      </c>
      <c r="C6" s="180"/>
      <c r="D6" s="175">
        <v>31076</v>
      </c>
      <c r="E6" s="176"/>
      <c r="F6" s="177">
        <v>13783.07</v>
      </c>
      <c r="G6" s="178"/>
      <c r="H6" s="31"/>
      <c r="J6" s="57"/>
    </row>
    <row r="7" spans="1:10" x14ac:dyDescent="0.25">
      <c r="A7" s="32"/>
      <c r="B7" s="179" t="s">
        <v>313</v>
      </c>
      <c r="C7" s="180"/>
      <c r="D7" s="175">
        <f>148967.45+1573</f>
        <v>150540.45000000001</v>
      </c>
      <c r="E7" s="176"/>
      <c r="F7" s="177">
        <v>512756.32</v>
      </c>
      <c r="G7" s="178"/>
      <c r="H7" s="31"/>
      <c r="J7" s="57"/>
    </row>
    <row r="8" spans="1:10" x14ac:dyDescent="0.25">
      <c r="A8" s="30" t="s">
        <v>181</v>
      </c>
      <c r="B8" s="173" t="s">
        <v>314</v>
      </c>
      <c r="C8" s="174"/>
      <c r="D8" s="175"/>
      <c r="E8" s="176"/>
      <c r="F8" s="177"/>
      <c r="G8" s="178"/>
      <c r="H8" s="31"/>
      <c r="J8" s="57"/>
    </row>
    <row r="9" spans="1:10" ht="25.5" customHeight="1" x14ac:dyDescent="0.25">
      <c r="A9" s="30" t="s">
        <v>165</v>
      </c>
      <c r="B9" s="161" t="s">
        <v>315</v>
      </c>
      <c r="C9" s="162"/>
      <c r="D9" s="163">
        <v>109909.12</v>
      </c>
      <c r="E9" s="164"/>
      <c r="F9" s="165"/>
      <c r="G9" s="166"/>
      <c r="H9" s="31"/>
      <c r="J9" s="57"/>
    </row>
    <row r="10" spans="1:10" x14ac:dyDescent="0.25">
      <c r="A10" s="30" t="s">
        <v>157</v>
      </c>
      <c r="B10" s="173" t="s">
        <v>316</v>
      </c>
      <c r="C10" s="174"/>
      <c r="D10" s="163">
        <v>20634.95</v>
      </c>
      <c r="E10" s="164"/>
      <c r="F10" s="165">
        <v>273988.40000000002</v>
      </c>
      <c r="G10" s="166"/>
      <c r="H10" s="31"/>
      <c r="J10" s="57"/>
    </row>
    <row r="11" spans="1:10" x14ac:dyDescent="0.25">
      <c r="A11" s="30" t="s">
        <v>141</v>
      </c>
      <c r="B11" s="173" t="s">
        <v>317</v>
      </c>
      <c r="C11" s="174"/>
      <c r="D11" s="163">
        <f>SUM(D12:D13)</f>
        <v>0</v>
      </c>
      <c r="E11" s="164"/>
      <c r="F11" s="165">
        <f>SUM(G12:G13)</f>
        <v>0</v>
      </c>
      <c r="G11" s="166"/>
      <c r="H11" s="31"/>
      <c r="J11" s="57"/>
    </row>
    <row r="12" spans="1:10" x14ac:dyDescent="0.25">
      <c r="A12" s="30" t="s">
        <v>318</v>
      </c>
      <c r="B12" s="173" t="s">
        <v>319</v>
      </c>
      <c r="C12" s="174"/>
      <c r="D12" s="175"/>
      <c r="E12" s="176"/>
      <c r="F12" s="177"/>
      <c r="G12" s="178"/>
      <c r="H12" s="31"/>
      <c r="J12" s="57"/>
    </row>
    <row r="13" spans="1:10" x14ac:dyDescent="0.25">
      <c r="A13" s="30" t="s">
        <v>320</v>
      </c>
      <c r="B13" s="173" t="s">
        <v>321</v>
      </c>
      <c r="C13" s="174"/>
      <c r="D13" s="175"/>
      <c r="E13" s="176"/>
      <c r="F13" s="177"/>
      <c r="G13" s="178"/>
      <c r="H13" s="31"/>
      <c r="J13" s="57"/>
    </row>
    <row r="14" spans="1:10" x14ac:dyDescent="0.25">
      <c r="A14" s="30" t="s">
        <v>322</v>
      </c>
      <c r="B14" s="173" t="s">
        <v>323</v>
      </c>
      <c r="C14" s="174"/>
      <c r="D14" s="163">
        <v>363147.25</v>
      </c>
      <c r="E14" s="164"/>
      <c r="F14" s="165">
        <v>0</v>
      </c>
      <c r="G14" s="166"/>
      <c r="H14" s="31"/>
      <c r="J14" s="57"/>
    </row>
    <row r="15" spans="1:10" ht="24.75" customHeight="1" x14ac:dyDescent="0.25">
      <c r="A15" s="30" t="s">
        <v>324</v>
      </c>
      <c r="B15" s="161" t="s">
        <v>325</v>
      </c>
      <c r="C15" s="162"/>
      <c r="D15" s="163">
        <v>0</v>
      </c>
      <c r="E15" s="164"/>
      <c r="F15" s="165"/>
      <c r="G15" s="166"/>
      <c r="H15" s="31"/>
      <c r="J15" s="57"/>
    </row>
    <row r="16" spans="1:10" ht="15.75" thickBot="1" x14ac:dyDescent="0.3">
      <c r="A16" s="33" t="s">
        <v>326</v>
      </c>
      <c r="B16" s="167" t="s">
        <v>327</v>
      </c>
      <c r="C16" s="168"/>
      <c r="D16" s="169">
        <v>23702.26</v>
      </c>
      <c r="E16" s="170"/>
      <c r="F16" s="171"/>
      <c r="G16" s="172"/>
      <c r="H16" s="31"/>
      <c r="J16" s="57"/>
    </row>
    <row r="17" spans="1:11" ht="15.75" thickBot="1" x14ac:dyDescent="0.3">
      <c r="A17" s="151" t="s">
        <v>328</v>
      </c>
      <c r="B17" s="152"/>
      <c r="C17" s="153"/>
      <c r="D17" s="154">
        <f>D4+D8+D9+D10+D11+D14+D15+D16</f>
        <v>3455493.4400000004</v>
      </c>
      <c r="E17" s="155"/>
      <c r="F17" s="154">
        <f>F4+F8+F9+F10+F11+F14+F15+F16</f>
        <v>7949553.4900000012</v>
      </c>
      <c r="G17" s="155"/>
      <c r="H17" s="28"/>
      <c r="J17" s="57"/>
    </row>
    <row r="18" spans="1:11" ht="15.75" thickBot="1" x14ac:dyDescent="0.3">
      <c r="A18" s="28"/>
      <c r="B18" s="28"/>
      <c r="C18" s="28"/>
      <c r="D18" s="28"/>
      <c r="E18" s="28"/>
      <c r="F18" s="28"/>
      <c r="G18" s="28"/>
      <c r="H18" s="28"/>
    </row>
    <row r="19" spans="1:11" x14ac:dyDescent="0.25">
      <c r="A19" s="156" t="s">
        <v>329</v>
      </c>
      <c r="B19" s="157"/>
      <c r="C19" s="157"/>
      <c r="D19" s="158" t="s">
        <v>330</v>
      </c>
      <c r="E19" s="158" t="s">
        <v>370</v>
      </c>
      <c r="F19" s="158" t="s">
        <v>371</v>
      </c>
      <c r="G19" s="159" t="s">
        <v>372</v>
      </c>
      <c r="H19" s="28"/>
    </row>
    <row r="20" spans="1:11" ht="52.5" customHeight="1" x14ac:dyDescent="0.25">
      <c r="A20" s="142"/>
      <c r="B20" s="143"/>
      <c r="C20" s="143"/>
      <c r="D20" s="145"/>
      <c r="E20" s="145"/>
      <c r="F20" s="145"/>
      <c r="G20" s="160"/>
      <c r="H20" s="28"/>
    </row>
    <row r="21" spans="1:11" x14ac:dyDescent="0.25">
      <c r="A21" s="142" t="s">
        <v>331</v>
      </c>
      <c r="B21" s="143"/>
      <c r="C21" s="143"/>
      <c r="D21" s="123">
        <v>6980756.5899999999</v>
      </c>
      <c r="E21" s="124">
        <f>1535766.45+98568.3+6143.07+98568.3+6143.07+98568.3+6143.07+98568.3+6143.07+98568.3+6143.07+104711.37</f>
        <v>2164034.6700000004</v>
      </c>
      <c r="F21" s="124">
        <f>1640477.82+98568.3+6143.07+69807.58+69807.58+98568.3+6143.07+69807.58+98568.3+6143.07</f>
        <v>2164034.6700000004</v>
      </c>
      <c r="G21" s="125">
        <f>E21-F21</f>
        <v>0</v>
      </c>
      <c r="H21" s="28"/>
      <c r="J21" s="118"/>
      <c r="K21" s="118"/>
    </row>
    <row r="22" spans="1:11" x14ac:dyDescent="0.25">
      <c r="A22" s="144" t="s">
        <v>332</v>
      </c>
      <c r="B22" s="145"/>
      <c r="C22" s="145"/>
      <c r="D22" s="146">
        <v>2487624.42</v>
      </c>
      <c r="E22" s="147">
        <f>547277.35+37314.36+43457.43-6143.07+37314.36+37314.36+37314.36+37314.36</f>
        <v>771163.51</v>
      </c>
      <c r="F22" s="147">
        <f>584591.71+43457.43-6143.07+24876.24+24876.24+37314.36+24876.24+37314.36</f>
        <v>771163.51</v>
      </c>
      <c r="G22" s="149">
        <f>E22-F22</f>
        <v>0</v>
      </c>
      <c r="H22" s="28"/>
      <c r="J22" s="138"/>
      <c r="K22" s="138"/>
    </row>
    <row r="23" spans="1:11" ht="25.5" customHeight="1" x14ac:dyDescent="0.25">
      <c r="A23" s="144"/>
      <c r="B23" s="145"/>
      <c r="C23" s="145"/>
      <c r="D23" s="146"/>
      <c r="E23" s="148"/>
      <c r="F23" s="148"/>
      <c r="G23" s="150"/>
      <c r="H23" s="28"/>
      <c r="J23" s="138"/>
      <c r="K23" s="138"/>
    </row>
    <row r="24" spans="1:11" ht="15.75" thickBot="1" x14ac:dyDescent="0.3">
      <c r="A24" s="139" t="s">
        <v>108</v>
      </c>
      <c r="B24" s="140"/>
      <c r="C24" s="140"/>
      <c r="D24" s="126">
        <f>SUM(D21:D23)</f>
        <v>9468381.0099999998</v>
      </c>
      <c r="E24" s="126">
        <f>SUM(E21:E23)</f>
        <v>2935198.1800000006</v>
      </c>
      <c r="F24" s="126">
        <f>SUM(F21:F23)</f>
        <v>2935198.1800000006</v>
      </c>
      <c r="G24" s="127">
        <f>SUM(G21:G23)</f>
        <v>0</v>
      </c>
      <c r="H24" s="28"/>
    </row>
    <row r="25" spans="1:11" x14ac:dyDescent="0.25">
      <c r="A25" s="28"/>
      <c r="B25" s="28"/>
      <c r="C25" s="28"/>
      <c r="D25" s="28"/>
      <c r="E25" s="28"/>
      <c r="F25" s="28"/>
      <c r="G25" s="28"/>
      <c r="H25" s="28"/>
    </row>
    <row r="26" spans="1:11" x14ac:dyDescent="0.25">
      <c r="A26" s="26"/>
      <c r="B26" s="26"/>
      <c r="C26" s="34"/>
      <c r="D26" s="67" t="s">
        <v>333</v>
      </c>
      <c r="E26" s="68"/>
      <c r="F26" s="68"/>
      <c r="G26" s="35"/>
      <c r="H26" s="35"/>
      <c r="J26" s="119"/>
      <c r="K26" s="119"/>
    </row>
    <row r="27" spans="1:11" x14ac:dyDescent="0.25">
      <c r="A27" s="26"/>
      <c r="B27" s="26"/>
      <c r="C27" s="26"/>
      <c r="D27" s="35"/>
      <c r="E27" s="141" t="s">
        <v>334</v>
      </c>
      <c r="F27" s="141"/>
      <c r="G27" s="35"/>
      <c r="H27" s="26"/>
      <c r="J27" s="119"/>
      <c r="K27" s="119"/>
    </row>
    <row r="28" spans="1:11" x14ac:dyDescent="0.25">
      <c r="A28" s="26"/>
      <c r="B28" s="26"/>
      <c r="C28" s="26"/>
      <c r="D28" s="26"/>
      <c r="E28" s="26"/>
      <c r="F28" s="26"/>
      <c r="G28" s="26"/>
      <c r="H28" s="26"/>
    </row>
    <row r="29" spans="1:11" x14ac:dyDescent="0.25">
      <c r="A29" s="26"/>
      <c r="B29" s="26"/>
      <c r="C29" s="26"/>
      <c r="D29" s="26"/>
      <c r="E29" s="63"/>
      <c r="F29" s="26"/>
      <c r="G29" s="26"/>
      <c r="H29" s="26"/>
    </row>
    <row r="30" spans="1:11" x14ac:dyDescent="0.25">
      <c r="A30" s="26"/>
      <c r="B30" s="26"/>
      <c r="C30" s="26"/>
      <c r="D30" s="26"/>
      <c r="E30" s="130"/>
      <c r="F30" s="130"/>
      <c r="G30" s="62"/>
      <c r="H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</row>
    <row r="33" spans="1:8" x14ac:dyDescent="0.25">
      <c r="A33" s="26"/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62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</sheetData>
  <mergeCells count="62">
    <mergeCell ref="B4:C4"/>
    <mergeCell ref="D4:E4"/>
    <mergeCell ref="F4:G4"/>
    <mergeCell ref="A2:E2"/>
    <mergeCell ref="F2:G2"/>
    <mergeCell ref="B3:C3"/>
    <mergeCell ref="D3:E3"/>
    <mergeCell ref="F3:G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A17:C17"/>
    <mergeCell ref="D17:E17"/>
    <mergeCell ref="F17:G17"/>
    <mergeCell ref="A19:C20"/>
    <mergeCell ref="D19:D20"/>
    <mergeCell ref="E19:E20"/>
    <mergeCell ref="F19:F20"/>
    <mergeCell ref="G19:G20"/>
    <mergeCell ref="J22:J23"/>
    <mergeCell ref="K22:K23"/>
    <mergeCell ref="A24:C24"/>
    <mergeCell ref="E27:F27"/>
    <mergeCell ref="A21:C21"/>
    <mergeCell ref="A22:C23"/>
    <mergeCell ref="D22:D23"/>
    <mergeCell ref="E22:E23"/>
    <mergeCell ref="F22:F23"/>
    <mergeCell ref="G22:G2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opLeftCell="A13" workbookViewId="0">
      <selection activeCell="L13" sqref="L13"/>
    </sheetView>
  </sheetViews>
  <sheetFormatPr defaultRowHeight="15" x14ac:dyDescent="0.25"/>
  <cols>
    <col min="1" max="1" width="5.5703125" customWidth="1"/>
    <col min="2" max="2" width="17.5703125" customWidth="1"/>
    <col min="3" max="3" width="13.140625" customWidth="1"/>
    <col min="4" max="4" width="12.5703125" customWidth="1"/>
    <col min="5" max="5" width="13.28515625" customWidth="1"/>
    <col min="6" max="6" width="12.7109375" customWidth="1"/>
    <col min="7" max="7" width="11.42578125" customWidth="1"/>
    <col min="8" max="8" width="12.5703125" customWidth="1"/>
    <col min="9" max="9" width="11.140625" customWidth="1"/>
    <col min="10" max="10" width="11.42578125" customWidth="1"/>
    <col min="12" max="12" width="17.85546875" customWidth="1"/>
    <col min="13" max="13" width="11.7109375" bestFit="1" customWidth="1"/>
  </cols>
  <sheetData>
    <row r="1" spans="1:13" ht="15.75" thickBot="1" x14ac:dyDescent="0.3">
      <c r="A1" s="222" t="s">
        <v>1</v>
      </c>
      <c r="B1" s="223"/>
      <c r="C1" s="223"/>
      <c r="D1" s="223"/>
      <c r="E1" s="223"/>
      <c r="F1" s="223"/>
      <c r="G1" s="223"/>
      <c r="H1" s="224"/>
      <c r="I1" s="225" t="s">
        <v>335</v>
      </c>
      <c r="J1" s="226"/>
    </row>
    <row r="2" spans="1:13" ht="24.75" customHeight="1" x14ac:dyDescent="0.25">
      <c r="A2" s="227" t="s">
        <v>306</v>
      </c>
      <c r="B2" s="229" t="s">
        <v>336</v>
      </c>
      <c r="C2" s="231" t="s">
        <v>390</v>
      </c>
      <c r="D2" s="232"/>
      <c r="E2" s="232"/>
      <c r="F2" s="233"/>
      <c r="G2" s="231" t="s">
        <v>391</v>
      </c>
      <c r="H2" s="232"/>
      <c r="I2" s="232"/>
      <c r="J2" s="233"/>
    </row>
    <row r="3" spans="1:13" ht="58.5" customHeight="1" thickBot="1" x14ac:dyDescent="0.3">
      <c r="A3" s="228"/>
      <c r="B3" s="230"/>
      <c r="C3" s="37" t="s">
        <v>337</v>
      </c>
      <c r="D3" s="37" t="s">
        <v>338</v>
      </c>
      <c r="E3" s="37" t="s">
        <v>339</v>
      </c>
      <c r="F3" s="38" t="s">
        <v>340</v>
      </c>
      <c r="G3" s="39" t="s">
        <v>337</v>
      </c>
      <c r="H3" s="37" t="s">
        <v>338</v>
      </c>
      <c r="I3" s="37" t="s">
        <v>339</v>
      </c>
      <c r="J3" s="40" t="s">
        <v>340</v>
      </c>
    </row>
    <row r="4" spans="1:13" ht="15.75" thickTop="1" x14ac:dyDescent="0.25">
      <c r="A4" s="41" t="s">
        <v>303</v>
      </c>
      <c r="B4" s="42" t="s">
        <v>341</v>
      </c>
      <c r="C4" s="95">
        <f>+C5+C8</f>
        <v>6305749.9900000002</v>
      </c>
      <c r="D4" s="95">
        <f>+D5+D8</f>
        <v>6305749.9900000002</v>
      </c>
      <c r="E4" s="95">
        <f>SUM(E5)</f>
        <v>5511778.46</v>
      </c>
      <c r="F4" s="95">
        <f>+F5+F8</f>
        <v>793971.53</v>
      </c>
      <c r="G4" s="94">
        <f>G5+G8</f>
        <v>800000</v>
      </c>
      <c r="H4" s="95">
        <f>H5+H8</f>
        <v>807717.73</v>
      </c>
      <c r="I4" s="95">
        <f>I5+I8</f>
        <v>378187.26</v>
      </c>
      <c r="J4" s="96">
        <f>J5+J8</f>
        <v>429530.47</v>
      </c>
    </row>
    <row r="5" spans="1:13" x14ac:dyDescent="0.25">
      <c r="A5" s="43">
        <v>1</v>
      </c>
      <c r="B5" s="44" t="s">
        <v>342</v>
      </c>
      <c r="C5" s="86">
        <f>SUM(C6:C7)</f>
        <v>6305749.9900000002</v>
      </c>
      <c r="D5" s="86">
        <f>SUM(D6:D7)</f>
        <v>6305749.9900000002</v>
      </c>
      <c r="E5" s="86">
        <f>SUM(E6:E7)</f>
        <v>5511778.46</v>
      </c>
      <c r="F5" s="86">
        <f t="shared" ref="F5:J5" si="0">SUM(F6:F7)</f>
        <v>793971.53</v>
      </c>
      <c r="G5" s="87">
        <f t="shared" si="0"/>
        <v>800000</v>
      </c>
      <c r="H5" s="86">
        <f t="shared" si="0"/>
        <v>807717.73</v>
      </c>
      <c r="I5" s="86">
        <f t="shared" si="0"/>
        <v>378187.26</v>
      </c>
      <c r="J5" s="93">
        <f t="shared" si="0"/>
        <v>429530.47</v>
      </c>
    </row>
    <row r="6" spans="1:13" x14ac:dyDescent="0.25">
      <c r="A6" s="45" t="s">
        <v>343</v>
      </c>
      <c r="B6" s="46" t="s">
        <v>344</v>
      </c>
      <c r="C6" s="83"/>
      <c r="D6" s="83"/>
      <c r="E6" s="83"/>
      <c r="F6" s="83"/>
      <c r="G6" s="84"/>
      <c r="H6" s="83"/>
      <c r="I6" s="83"/>
      <c r="J6" s="85"/>
      <c r="L6" s="56" t="s">
        <v>362</v>
      </c>
    </row>
    <row r="7" spans="1:13" x14ac:dyDescent="0.25">
      <c r="A7" s="45" t="s">
        <v>345</v>
      </c>
      <c r="B7" s="46" t="s">
        <v>346</v>
      </c>
      <c r="C7" s="83">
        <v>6305749.9900000002</v>
      </c>
      <c r="D7" s="83">
        <v>6305749.9900000002</v>
      </c>
      <c r="E7" s="83">
        <f>+D7-F7</f>
        <v>5511778.46</v>
      </c>
      <c r="F7" s="83">
        <f>791498+2473.53</f>
        <v>793971.53</v>
      </c>
      <c r="G7" s="84">
        <f>750000+50000</f>
        <v>800000</v>
      </c>
      <c r="H7" s="83">
        <f>757717.73+50000</f>
        <v>807717.73</v>
      </c>
      <c r="I7" s="83">
        <v>378187.26</v>
      </c>
      <c r="J7" s="85">
        <f>H7-I7</f>
        <v>429530.47</v>
      </c>
      <c r="L7" s="120"/>
    </row>
    <row r="8" spans="1:13" x14ac:dyDescent="0.25">
      <c r="A8" s="43">
        <v>2</v>
      </c>
      <c r="B8" s="44" t="s">
        <v>347</v>
      </c>
      <c r="C8" s="86"/>
      <c r="D8" s="86"/>
      <c r="E8" s="86" t="s">
        <v>348</v>
      </c>
      <c r="F8" s="86"/>
      <c r="G8" s="84"/>
      <c r="H8" s="86"/>
      <c r="I8" s="86"/>
      <c r="J8" s="88"/>
      <c r="L8" s="56"/>
      <c r="M8" s="56"/>
    </row>
    <row r="9" spans="1:13" x14ac:dyDescent="0.25">
      <c r="A9" s="47" t="s">
        <v>181</v>
      </c>
      <c r="B9" s="44" t="s">
        <v>349</v>
      </c>
      <c r="C9" s="86">
        <f>C10+C13</f>
        <v>0</v>
      </c>
      <c r="D9" s="86">
        <f>D10+D13</f>
        <v>0</v>
      </c>
      <c r="E9" s="86">
        <f>E10+E13</f>
        <v>0</v>
      </c>
      <c r="F9" s="86">
        <f>F10+F13</f>
        <v>0</v>
      </c>
      <c r="G9" s="87">
        <f>SUM(G10+G13)</f>
        <v>0</v>
      </c>
      <c r="H9" s="86">
        <f>SUM(H10+H13)</f>
        <v>0</v>
      </c>
      <c r="I9" s="86">
        <f>SUM(I10+I13)</f>
        <v>0</v>
      </c>
      <c r="J9" s="93">
        <f>SUM(J10+J13)</f>
        <v>0</v>
      </c>
      <c r="L9" s="56"/>
    </row>
    <row r="10" spans="1:13" x14ac:dyDescent="0.25">
      <c r="A10" s="43">
        <v>1</v>
      </c>
      <c r="B10" s="44" t="s">
        <v>350</v>
      </c>
      <c r="C10" s="86">
        <f t="shared" ref="C10:J10" si="1">SUM(C11:C12)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7">
        <f t="shared" si="1"/>
        <v>0</v>
      </c>
      <c r="H10" s="86">
        <f t="shared" si="1"/>
        <v>0</v>
      </c>
      <c r="I10" s="86">
        <f t="shared" si="1"/>
        <v>0</v>
      </c>
      <c r="J10" s="93">
        <f t="shared" si="1"/>
        <v>0</v>
      </c>
      <c r="L10" s="56"/>
    </row>
    <row r="11" spans="1:13" x14ac:dyDescent="0.25">
      <c r="A11" s="45" t="s">
        <v>343</v>
      </c>
      <c r="B11" s="46" t="s">
        <v>344</v>
      </c>
      <c r="C11" s="83"/>
      <c r="D11" s="83"/>
      <c r="E11" s="83"/>
      <c r="F11" s="83"/>
      <c r="G11" s="84"/>
      <c r="H11" s="83"/>
      <c r="I11" s="83"/>
      <c r="J11" s="85"/>
      <c r="L11" s="56"/>
      <c r="M11" s="56"/>
    </row>
    <row r="12" spans="1:13" x14ac:dyDescent="0.25">
      <c r="A12" s="45" t="s">
        <v>345</v>
      </c>
      <c r="B12" s="46" t="s">
        <v>346</v>
      </c>
      <c r="C12" s="83"/>
      <c r="D12" s="83"/>
      <c r="E12" s="83"/>
      <c r="F12" s="83"/>
      <c r="G12" s="84"/>
      <c r="H12" s="83"/>
      <c r="I12" s="83"/>
      <c r="J12" s="85"/>
      <c r="K12" t="s">
        <v>361</v>
      </c>
      <c r="L12" s="56"/>
    </row>
    <row r="13" spans="1:13" ht="15.75" thickBot="1" x14ac:dyDescent="0.3">
      <c r="A13" s="43">
        <v>2</v>
      </c>
      <c r="B13" s="44" t="s">
        <v>347</v>
      </c>
      <c r="C13" s="86"/>
      <c r="D13" s="86"/>
      <c r="E13" s="86"/>
      <c r="F13" s="86"/>
      <c r="G13" s="87"/>
      <c r="H13" s="86"/>
      <c r="I13" s="86"/>
      <c r="J13" s="88"/>
      <c r="L13" s="56"/>
    </row>
    <row r="14" spans="1:13" ht="16.5" thickTop="1" thickBot="1" x14ac:dyDescent="0.3">
      <c r="A14" s="209" t="s">
        <v>351</v>
      </c>
      <c r="B14" s="210"/>
      <c r="C14" s="89">
        <f t="shared" ref="C14:J14" si="2">C4+C9</f>
        <v>6305749.9900000002</v>
      </c>
      <c r="D14" s="89">
        <f t="shared" si="2"/>
        <v>6305749.9900000002</v>
      </c>
      <c r="E14" s="89">
        <f t="shared" si="2"/>
        <v>5511778.46</v>
      </c>
      <c r="F14" s="89">
        <f t="shared" si="2"/>
        <v>793971.53</v>
      </c>
      <c r="G14" s="90">
        <f t="shared" si="2"/>
        <v>800000</v>
      </c>
      <c r="H14" s="91">
        <f t="shared" si="2"/>
        <v>807717.73</v>
      </c>
      <c r="I14" s="91">
        <f t="shared" si="2"/>
        <v>378187.26</v>
      </c>
      <c r="J14" s="92">
        <f t="shared" si="2"/>
        <v>429530.47</v>
      </c>
      <c r="L14" s="56"/>
    </row>
    <row r="15" spans="1:13" ht="15.75" thickTop="1" x14ac:dyDescent="0.25">
      <c r="A15" s="41" t="s">
        <v>165</v>
      </c>
      <c r="B15" s="42" t="s">
        <v>352</v>
      </c>
      <c r="C15" s="81">
        <v>600000</v>
      </c>
      <c r="D15" s="81">
        <v>600000</v>
      </c>
      <c r="E15" s="81">
        <v>92851.23</v>
      </c>
      <c r="F15" s="81">
        <v>334396.06</v>
      </c>
      <c r="G15" s="80"/>
      <c r="H15" s="81"/>
      <c r="I15" s="81"/>
      <c r="J15" s="82"/>
    </row>
    <row r="16" spans="1:13" ht="15.75" thickBot="1" x14ac:dyDescent="0.3">
      <c r="A16" s="48" t="s">
        <v>157</v>
      </c>
      <c r="B16" s="49" t="s">
        <v>353</v>
      </c>
      <c r="C16" s="73"/>
      <c r="D16" s="73"/>
      <c r="E16" s="73"/>
      <c r="F16" s="73"/>
      <c r="G16" s="74"/>
      <c r="H16" s="75"/>
      <c r="I16" s="75"/>
      <c r="J16" s="76"/>
      <c r="L16" s="56"/>
    </row>
    <row r="17" spans="1:10" ht="15.75" thickBot="1" x14ac:dyDescent="0.3">
      <c r="A17" s="211" t="s">
        <v>354</v>
      </c>
      <c r="B17" s="212"/>
      <c r="C17" s="77">
        <f>C15+C16</f>
        <v>600000</v>
      </c>
      <c r="D17" s="77">
        <f>D15+D16</f>
        <v>600000</v>
      </c>
      <c r="E17" s="77">
        <f>E15+E16</f>
        <v>92851.23</v>
      </c>
      <c r="F17" s="77">
        <f>F15+F16</f>
        <v>334396.06</v>
      </c>
      <c r="G17" s="78">
        <f>SUM(G15:G16)</f>
        <v>0</v>
      </c>
      <c r="H17" s="78">
        <f>SUM(H15:H16)</f>
        <v>0</v>
      </c>
      <c r="I17" s="78">
        <f>SUM(I15:I16)</f>
        <v>0</v>
      </c>
      <c r="J17" s="79">
        <f>SUM(J15:J16)</f>
        <v>0</v>
      </c>
    </row>
    <row r="18" spans="1:10" ht="15.75" thickBo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5.75" thickBot="1" x14ac:dyDescent="0.3">
      <c r="A19" s="50"/>
      <c r="B19" s="213" t="s">
        <v>389</v>
      </c>
      <c r="C19" s="214"/>
      <c r="D19" s="214"/>
      <c r="E19" s="214"/>
      <c r="F19" s="214"/>
      <c r="G19" s="214"/>
      <c r="H19" s="214"/>
      <c r="I19" s="215"/>
      <c r="J19" s="51"/>
    </row>
    <row r="20" spans="1:10" x14ac:dyDescent="0.25">
      <c r="A20" s="50"/>
      <c r="B20" s="216" t="s">
        <v>355</v>
      </c>
      <c r="C20" s="217"/>
      <c r="D20" s="218" t="s">
        <v>356</v>
      </c>
      <c r="E20" s="219"/>
      <c r="F20" s="218" t="s">
        <v>357</v>
      </c>
      <c r="G20" s="219"/>
      <c r="H20" s="220" t="s">
        <v>358</v>
      </c>
      <c r="I20" s="221"/>
      <c r="J20" s="52"/>
    </row>
    <row r="21" spans="1:10" ht="16.5" customHeight="1" x14ac:dyDescent="0.25">
      <c r="A21" s="50"/>
      <c r="B21" s="201" t="s">
        <v>359</v>
      </c>
      <c r="C21" s="202"/>
      <c r="D21" s="203"/>
      <c r="E21" s="204"/>
      <c r="F21" s="203"/>
      <c r="G21" s="204"/>
      <c r="H21" s="205"/>
      <c r="I21" s="206"/>
      <c r="J21" s="53"/>
    </row>
    <row r="22" spans="1:10" ht="39" customHeight="1" x14ac:dyDescent="0.25">
      <c r="A22" s="50"/>
      <c r="B22" s="207" t="s">
        <v>360</v>
      </c>
      <c r="C22" s="208"/>
      <c r="D22" s="203">
        <v>71269.8</v>
      </c>
      <c r="E22" s="204"/>
      <c r="F22" s="203">
        <v>71269.8</v>
      </c>
      <c r="G22" s="204"/>
      <c r="H22" s="203">
        <f>D22-F22</f>
        <v>0</v>
      </c>
      <c r="I22" s="206"/>
      <c r="J22" s="53"/>
    </row>
    <row r="23" spans="1:10" ht="15" customHeight="1" thickBot="1" x14ac:dyDescent="0.3">
      <c r="A23" s="50"/>
      <c r="B23" s="71" t="s">
        <v>355</v>
      </c>
      <c r="C23" s="72"/>
      <c r="D23" s="193"/>
      <c r="E23" s="194"/>
      <c r="F23" s="193"/>
      <c r="G23" s="194"/>
      <c r="H23" s="195"/>
      <c r="I23" s="196"/>
      <c r="J23" s="53"/>
    </row>
    <row r="24" spans="1:10" ht="15.75" thickBot="1" x14ac:dyDescent="0.3">
      <c r="A24" s="50"/>
      <c r="B24" s="197" t="s">
        <v>108</v>
      </c>
      <c r="C24" s="198"/>
      <c r="D24" s="199">
        <f>SUM(D21:E23)</f>
        <v>71269.8</v>
      </c>
      <c r="E24" s="200"/>
      <c r="F24" s="199">
        <f t="shared" ref="F24" si="3">SUM(F21:G23)</f>
        <v>71269.8</v>
      </c>
      <c r="G24" s="200"/>
      <c r="H24" s="199">
        <f t="shared" ref="H24" si="4">SUM(H21:I23)</f>
        <v>0</v>
      </c>
      <c r="I24" s="200"/>
      <c r="J24" s="54"/>
    </row>
    <row r="25" spans="1:10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0" x14ac:dyDescent="0.25">
      <c r="A26" s="35"/>
      <c r="B26" s="35"/>
      <c r="C26" s="35"/>
      <c r="D26" s="35"/>
      <c r="E26" s="36" t="s">
        <v>333</v>
      </c>
      <c r="F26" s="35"/>
      <c r="G26" s="55"/>
      <c r="H26" s="55"/>
      <c r="I26" s="55"/>
      <c r="J26" s="35"/>
    </row>
    <row r="27" spans="1:10" x14ac:dyDescent="0.25">
      <c r="A27" s="35"/>
      <c r="B27" s="35"/>
      <c r="C27" s="35"/>
      <c r="D27" s="35"/>
      <c r="E27" s="35"/>
      <c r="F27" s="35"/>
      <c r="G27" s="192" t="s">
        <v>334</v>
      </c>
      <c r="H27" s="192"/>
      <c r="I27" s="192"/>
      <c r="J27" s="35"/>
    </row>
    <row r="28" spans="1:10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</row>
    <row r="29" spans="1:10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</row>
  </sheetData>
  <mergeCells count="29">
    <mergeCell ref="A1:H1"/>
    <mergeCell ref="I1:J1"/>
    <mergeCell ref="A2:A3"/>
    <mergeCell ref="B2:B3"/>
    <mergeCell ref="C2:F2"/>
    <mergeCell ref="G2:J2"/>
    <mergeCell ref="A14:B14"/>
    <mergeCell ref="A17:B17"/>
    <mergeCell ref="B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G27:I27"/>
    <mergeCell ref="D23:E23"/>
    <mergeCell ref="F23:G23"/>
    <mergeCell ref="H23:I23"/>
    <mergeCell ref="B24:C24"/>
    <mergeCell ref="D24:E24"/>
    <mergeCell ref="F24:G24"/>
    <mergeCell ref="H24:I24"/>
  </mergeCells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1" sqref="G11"/>
    </sheetView>
  </sheetViews>
  <sheetFormatPr defaultRowHeight="15" x14ac:dyDescent="0.25"/>
  <cols>
    <col min="2" max="2" width="48.7109375" customWidth="1"/>
    <col min="3" max="3" width="20.85546875" customWidth="1"/>
  </cols>
  <sheetData>
    <row r="1" spans="1:3" ht="15.75" thickBot="1" x14ac:dyDescent="0.3"/>
    <row r="2" spans="1:3" x14ac:dyDescent="0.25">
      <c r="A2" s="234" t="s">
        <v>392</v>
      </c>
      <c r="B2" s="235"/>
      <c r="C2" s="236"/>
    </row>
    <row r="3" spans="1:3" ht="15.75" thickBot="1" x14ac:dyDescent="0.3">
      <c r="A3" s="237"/>
      <c r="B3" s="238"/>
      <c r="C3" s="239"/>
    </row>
    <row r="4" spans="1:3" ht="15.75" thickBot="1" x14ac:dyDescent="0.3">
      <c r="A4" s="35"/>
      <c r="B4" s="35"/>
      <c r="C4" s="35"/>
    </row>
    <row r="5" spans="1:3" x14ac:dyDescent="0.25">
      <c r="A5" s="114" t="s">
        <v>306</v>
      </c>
      <c r="B5" s="110" t="s">
        <v>373</v>
      </c>
      <c r="C5" s="111" t="s">
        <v>374</v>
      </c>
    </row>
    <row r="6" spans="1:3" x14ac:dyDescent="0.25">
      <c r="A6" s="115">
        <v>1</v>
      </c>
      <c r="B6" s="108" t="s">
        <v>375</v>
      </c>
      <c r="C6" s="128">
        <v>291</v>
      </c>
    </row>
    <row r="7" spans="1:3" x14ac:dyDescent="0.25">
      <c r="A7" s="115">
        <v>2</v>
      </c>
      <c r="B7" s="108" t="s">
        <v>376</v>
      </c>
      <c r="C7" s="128">
        <v>32</v>
      </c>
    </row>
    <row r="8" spans="1:3" x14ac:dyDescent="0.25">
      <c r="A8" s="115">
        <v>3</v>
      </c>
      <c r="B8" s="108" t="s">
        <v>377</v>
      </c>
      <c r="C8" s="128">
        <v>27</v>
      </c>
    </row>
    <row r="9" spans="1:3" x14ac:dyDescent="0.25">
      <c r="A9" s="115">
        <v>4</v>
      </c>
      <c r="B9" s="108" t="s">
        <v>378</v>
      </c>
      <c r="C9" s="128">
        <v>48</v>
      </c>
    </row>
    <row r="10" spans="1:3" x14ac:dyDescent="0.25">
      <c r="A10" s="115">
        <v>5</v>
      </c>
      <c r="B10" s="108" t="s">
        <v>379</v>
      </c>
      <c r="C10" s="128">
        <v>79</v>
      </c>
    </row>
    <row r="11" spans="1:3" x14ac:dyDescent="0.25">
      <c r="A11" s="115">
        <v>6</v>
      </c>
      <c r="B11" s="108" t="s">
        <v>380</v>
      </c>
      <c r="C11" s="128">
        <v>17</v>
      </c>
    </row>
    <row r="12" spans="1:3" x14ac:dyDescent="0.25">
      <c r="A12" s="115">
        <v>7</v>
      </c>
      <c r="B12" s="108" t="s">
        <v>381</v>
      </c>
      <c r="C12" s="128">
        <v>23</v>
      </c>
    </row>
    <row r="13" spans="1:3" x14ac:dyDescent="0.25">
      <c r="A13" s="115">
        <v>8</v>
      </c>
      <c r="B13" s="108" t="s">
        <v>382</v>
      </c>
      <c r="C13" s="128">
        <v>11</v>
      </c>
    </row>
    <row r="14" spans="1:3" x14ac:dyDescent="0.25">
      <c r="A14" s="115">
        <v>9</v>
      </c>
      <c r="B14" s="108" t="s">
        <v>383</v>
      </c>
      <c r="C14" s="128">
        <v>8</v>
      </c>
    </row>
    <row r="15" spans="1:3" x14ac:dyDescent="0.25">
      <c r="A15" s="115">
        <v>10</v>
      </c>
      <c r="B15" s="108" t="s">
        <v>384</v>
      </c>
      <c r="C15" s="128">
        <v>144</v>
      </c>
    </row>
    <row r="16" spans="1:3" x14ac:dyDescent="0.25">
      <c r="A16" s="115">
        <v>11</v>
      </c>
      <c r="B16" s="108" t="s">
        <v>385</v>
      </c>
      <c r="C16" s="128">
        <v>65</v>
      </c>
    </row>
    <row r="17" spans="1:3" x14ac:dyDescent="0.25">
      <c r="A17" s="115">
        <v>12</v>
      </c>
      <c r="B17" s="108" t="s">
        <v>386</v>
      </c>
      <c r="C17" s="128">
        <v>12</v>
      </c>
    </row>
    <row r="18" spans="1:3" ht="29.25" customHeight="1" x14ac:dyDescent="0.25">
      <c r="A18" s="115">
        <v>13</v>
      </c>
      <c r="B18" s="109" t="s">
        <v>387</v>
      </c>
      <c r="C18" s="128">
        <v>29</v>
      </c>
    </row>
    <row r="19" spans="1:3" ht="29.25" customHeight="1" x14ac:dyDescent="0.25">
      <c r="A19" s="116">
        <v>14</v>
      </c>
      <c r="B19" s="117" t="s">
        <v>388</v>
      </c>
      <c r="C19" s="128">
        <v>3</v>
      </c>
    </row>
    <row r="20" spans="1:3" ht="15.75" thickBot="1" x14ac:dyDescent="0.3">
      <c r="A20" s="112"/>
      <c r="B20" s="113" t="s">
        <v>108</v>
      </c>
      <c r="C20" s="129">
        <f>SUM(C6:C19)</f>
        <v>789</v>
      </c>
    </row>
  </sheetData>
  <mergeCells count="1">
    <mergeCell ref="A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</vt:lpstr>
      <vt:lpstr>PIR</vt:lpstr>
      <vt:lpstr>Neizmirene obaveze</vt:lpstr>
      <vt:lpstr>Zaduženja</vt:lpstr>
      <vt:lpstr>Broj zaposlenih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2024-01-29T07:57:32Z</cp:lastPrinted>
  <dcterms:created xsi:type="dcterms:W3CDTF">2022-03-10T10:46:30Z</dcterms:created>
  <dcterms:modified xsi:type="dcterms:W3CDTF">2025-02-07T09:50:55Z</dcterms:modified>
</cp:coreProperties>
</file>